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amirlakha/Library/Mobile Documents/com~apple~CloudDocs/dev/almdatahub/app/static/downloads/"/>
    </mc:Choice>
  </mc:AlternateContent>
  <xr:revisionPtr revIDLastSave="0" documentId="8_{52E6DAC5-6D30-5E49-9C79-A2D36DCB06CA}" xr6:coauthVersionLast="47" xr6:coauthVersionMax="47" xr10:uidLastSave="{00000000-0000-0000-0000-000000000000}"/>
  <bookViews>
    <workbookView xWindow="0" yWindow="600" windowWidth="51200" windowHeight="57000" xr2:uid="{00000000-000D-0000-FFFF-FFFF00000000}"/>
  </bookViews>
  <sheets>
    <sheet name="Welcome" sheetId="1" r:id="rId1"/>
    <sheet name="Yield Curves" sheetId="2" r:id="rId2"/>
    <sheet name="Smith-Wilson" sheetId="3" r:id="rId3"/>
    <sheet name="Rates &amp; FX" sheetId="4" r:id="rId4"/>
    <sheet name="Inflation" sheetId="5" r:id="rId5"/>
    <sheet name="Life Tables" sheetId="6" r:id="rId6"/>
    <sheet name="PRA Spreads" sheetId="7" r:id="rId7"/>
    <sheet name="Discovery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8" l="1" a="1"/>
  <c r="H6" i="8" s="1"/>
  <c r="E6" i="8" a="1"/>
  <c r="E6" i="8" s="1"/>
  <c r="B16" i="8" a="1"/>
  <c r="B16" i="8" s="1"/>
  <c r="C6" i="8" a="1"/>
  <c r="C6" i="8" s="1"/>
  <c r="F59" i="7" a="1"/>
  <c r="F59" i="7" s="1"/>
  <c r="E59" i="7" a="1"/>
  <c r="E59" i="7" s="1"/>
  <c r="D59" i="7" a="1"/>
  <c r="D59" i="7" s="1"/>
  <c r="C59" i="7" a="1"/>
  <c r="C59" i="7" s="1"/>
  <c r="B59" i="7" a="1"/>
  <c r="B59" i="7" s="1"/>
  <c r="C7" i="7" a="1"/>
  <c r="C7" i="7" s="1"/>
  <c r="B24" i="7" s="1" a="1"/>
  <c r="B24" i="7" s="1"/>
  <c r="Q6" i="6" a="1"/>
  <c r="Q6" i="6" s="1"/>
  <c r="J6" i="6" a="1"/>
  <c r="J6" i="6" s="1"/>
  <c r="B21" i="6" a="1"/>
  <c r="B21" i="6" s="1"/>
  <c r="H7" i="6" a="1"/>
  <c r="H7" i="6" s="1"/>
  <c r="G7" i="6" a="1"/>
  <c r="G7" i="6" s="1"/>
  <c r="F7" i="6" a="1"/>
  <c r="F7" i="6" s="1"/>
  <c r="E7" i="6" a="1"/>
  <c r="E7" i="6" s="1"/>
  <c r="D7" i="6" a="1"/>
  <c r="D7" i="6" s="1"/>
  <c r="C7" i="6" a="1"/>
  <c r="C7" i="6" s="1"/>
  <c r="D15" i="5" a="1"/>
  <c r="D15" i="5" s="1"/>
  <c r="C15" i="5" a="1"/>
  <c r="C15" i="5" s="1"/>
  <c r="D10" i="5" a="1"/>
  <c r="D10" i="5" s="1"/>
  <c r="C10" i="5" a="1"/>
  <c r="C10" i="5" s="1"/>
  <c r="D9" i="5" a="1"/>
  <c r="D9" i="5" s="1"/>
  <c r="C9" i="5" a="1"/>
  <c r="C9" i="5" s="1"/>
  <c r="D8" i="5" a="1"/>
  <c r="D8" i="5" s="1"/>
  <c r="C8" i="5" a="1"/>
  <c r="C8" i="5" s="1"/>
  <c r="D7" i="5" a="1"/>
  <c r="D7" i="5" s="1"/>
  <c r="C7" i="5" a="1"/>
  <c r="C7" i="5" s="1"/>
  <c r="D20" i="4" a="1"/>
  <c r="D20" i="4" s="1"/>
  <c r="C20" i="4" a="1"/>
  <c r="C20" i="4" s="1"/>
  <c r="E15" i="4" a="1"/>
  <c r="E15" i="4" s="1"/>
  <c r="D15" i="4" a="1"/>
  <c r="D15" i="4" s="1"/>
  <c r="C15" i="4" a="1"/>
  <c r="C15" i="4" s="1"/>
  <c r="B15" i="4" a="1"/>
  <c r="B15" i="4" s="1"/>
  <c r="C10" i="4" a="1"/>
  <c r="C10" i="4" s="1"/>
  <c r="C9" i="4" a="1"/>
  <c r="C9" i="4" s="1"/>
  <c r="C8" i="4" a="1"/>
  <c r="C8" i="4" s="1"/>
  <c r="C7" i="4" a="1"/>
  <c r="C7" i="4" s="1"/>
  <c r="C6" i="4" a="1"/>
  <c r="C6" i="4" s="1"/>
  <c r="C17" i="3" a="1"/>
  <c r="C17" i="3" s="1"/>
  <c r="C18" i="3" s="1" a="1"/>
  <c r="C18" i="3" s="1"/>
  <c r="C5" i="3" a="1"/>
  <c r="C5" i="3" s="1"/>
  <c r="E10" i="3" s="1" a="1"/>
  <c r="E10" i="3" s="1"/>
  <c r="K7" i="2" a="1"/>
  <c r="K7" i="2" s="1"/>
  <c r="J7" i="2" a="1"/>
  <c r="J7" i="2" s="1"/>
  <c r="K4" i="2" a="1"/>
  <c r="K4" i="2" s="1"/>
  <c r="C29" i="2" a="1"/>
  <c r="C29" i="2" s="1"/>
  <c r="E24" i="2" a="1"/>
  <c r="E24" i="2" s="1"/>
  <c r="D24" i="2" a="1"/>
  <c r="D24" i="2" s="1"/>
  <c r="C24" i="2" a="1"/>
  <c r="C24" i="2" s="1"/>
  <c r="B24" i="2" a="1"/>
  <c r="B24" i="2" s="1"/>
  <c r="C19" i="2" a="1"/>
  <c r="C19" i="2" s="1"/>
  <c r="C18" i="2" a="1"/>
  <c r="C18" i="2" s="1"/>
  <c r="C14" i="2" a="1"/>
  <c r="C14" i="2" s="1"/>
  <c r="C13" i="2" a="1"/>
  <c r="C13" i="2" s="1"/>
  <c r="E12" i="2" a="1"/>
  <c r="E12" i="2" s="1"/>
  <c r="D12" i="2" a="1"/>
  <c r="D12" i="2" s="1"/>
  <c r="C12" i="2" a="1"/>
  <c r="C12" i="2" s="1"/>
  <c r="E11" i="2" a="1"/>
  <c r="E11" i="2" s="1"/>
  <c r="D11" i="2" a="1"/>
  <c r="D11" i="2" s="1"/>
  <c r="C11" i="2" a="1"/>
  <c r="C11" i="2" s="1"/>
  <c r="E10" i="2" a="1"/>
  <c r="E10" i="2" s="1"/>
  <c r="D10" i="2" a="1"/>
  <c r="D10" i="2" s="1"/>
  <c r="C10" i="2" a="1"/>
  <c r="C10" i="2" s="1"/>
  <c r="E9" i="2" a="1"/>
  <c r="E9" i="2" s="1"/>
  <c r="D9" i="2" a="1"/>
  <c r="D9" i="2" s="1"/>
  <c r="C9" i="2" a="1"/>
  <c r="C9" i="2" s="1"/>
  <c r="E8" i="2" a="1"/>
  <c r="E8" i="2" s="1"/>
  <c r="D8" i="2" a="1"/>
  <c r="D8" i="2" s="1"/>
  <c r="C8" i="2" a="1"/>
  <c r="C8" i="2" s="1"/>
  <c r="E7" i="2" a="1"/>
  <c r="E7" i="2" s="1"/>
  <c r="D7" i="2" a="1"/>
  <c r="D7" i="2" s="1"/>
  <c r="C7" i="2" a="1"/>
  <c r="C7" i="2" s="1"/>
  <c r="C5" i="5"/>
  <c r="C5" i="4"/>
  <c r="C14" i="3"/>
  <c r="C13" i="3"/>
  <c r="C12" i="3"/>
  <c r="C11" i="3"/>
  <c r="C10" i="3"/>
  <c r="C5" i="2"/>
  <c r="F13" i="7" l="1" a="1"/>
  <c r="F13" i="7" s="1"/>
  <c r="G13" i="7" a="1"/>
  <c r="G13" i="7" s="1"/>
  <c r="G14" i="7" a="1"/>
  <c r="G14" i="7" s="1"/>
  <c r="C17" i="7" a="1"/>
  <c r="C17" i="7" s="1"/>
  <c r="C18" i="7" a="1"/>
  <c r="C18" i="7" s="1"/>
  <c r="C12" i="7" a="1"/>
  <c r="C12" i="7" s="1"/>
  <c r="D12" i="7" a="1"/>
  <c r="D12" i="7" s="1"/>
  <c r="E12" i="7" a="1"/>
  <c r="E12" i="7" s="1"/>
  <c r="E13" i="7" a="1"/>
  <c r="E13" i="7" s="1"/>
  <c r="B22" i="3" a="1"/>
  <c r="B22" i="3" s="1"/>
  <c r="J6" i="3" a="1"/>
  <c r="J6" i="3" s="1"/>
  <c r="F12" i="7" a="1"/>
  <c r="F12" i="7" s="1"/>
  <c r="C14" i="7" a="1"/>
  <c r="C14" i="7" s="1"/>
  <c r="C19" i="7" a="1"/>
  <c r="C19" i="7" s="1"/>
  <c r="G12" i="7" a="1"/>
  <c r="G12" i="7" s="1"/>
  <c r="D14" i="7" a="1"/>
  <c r="D14" i="7" s="1"/>
  <c r="C20" i="7" a="1"/>
  <c r="C20" i="7" s="1"/>
  <c r="D10" i="3" a="1"/>
  <c r="D10" i="3" s="1"/>
  <c r="C13" i="7" a="1"/>
  <c r="C13" i="7" s="1"/>
  <c r="E14" i="7" a="1"/>
  <c r="E14" i="7" s="1"/>
  <c r="I6" i="7" a="1"/>
  <c r="I6" i="7" s="1"/>
  <c r="C21" i="7" a="1"/>
  <c r="C21" i="7" s="1"/>
  <c r="D13" i="7" a="1"/>
  <c r="D13" i="7" s="1"/>
  <c r="F14" i="7" a="1"/>
  <c r="F14" i="7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<sst xmlns="http://schemas.openxmlformats.org/spreadsheetml/2006/main" count="184" uniqueCount="168">
  <si>
    <t>ALM DataHub</t>
  </si>
  <si>
    <t>UK actuarial &amp; fixed-income market data — live in Excel</t>
  </si>
  <si>
    <t>Every ALM DataHub worksheet function, one sheet per data family.</t>
  </si>
  <si>
    <t>Before you start:</t>
  </si>
  <si>
    <t xml:space="preserve">   1.  Install the ALM DataHub add-in and sign in from its task pane.</t>
  </si>
  <si>
    <t xml:space="preserve">   2.  Values refresh from live data whenever Excel recalculates.</t>
  </si>
  <si>
    <t>Formulas use fixed historical dates so the examples are stable and reproducible.</t>
  </si>
  <si>
    <t>Functions that take dates are vectorised: pass one date for one value, or point them</t>
  </si>
  <si>
    <t>at a whole column of dates and the results spill automatically.</t>
  </si>
  <si>
    <t>Contents</t>
  </si>
  <si>
    <t>Yield Curves</t>
  </si>
  <si>
    <t>Gilt nominal, SONIA OIS, implied inflation, international risk-free rates</t>
  </si>
  <si>
    <t>Smith-Wilson</t>
  </si>
  <si>
    <t>Fit once, then interpolated rates, discount factors, full curves, diagnostics</t>
  </si>
  <si>
    <t>Rates &amp; FX</t>
  </si>
  <si>
    <t>SONIA, Bank Rate, compounded index, Sterling ERI, 22 FX pairs</t>
  </si>
  <si>
    <t>Inflation</t>
  </si>
  <si>
    <t>RPI, CPI, CPIH, RPIX index levels and year-on-year rates</t>
  </si>
  <si>
    <t>Life Tables</t>
  </si>
  <si>
    <t>ONS national period life tables: qx, lx, ex by age and sex</t>
  </si>
  <si>
    <t>PRA Spreads</t>
  </si>
  <si>
    <t>Fundamental spreads by credit quality and tenor, with all components</t>
  </si>
  <si>
    <t>Discovery</t>
  </si>
  <si>
    <t>What series exist, what dates they cover, series metadata</t>
  </si>
  <si>
    <t>almdatahub.com  ·  support@almdatahub.com</t>
  </si>
  <si>
    <t>Data: Bank of England, ONS, PRA — parsed, normalised, kept current. Not financial advice.</t>
  </si>
  <si>
    <t>ALM.GILT · ALM.OIS · ALM.INFLATION · ALM.RFR · curve discovery</t>
  </si>
  <si>
    <t>Spot rates by tenor (%)</t>
  </si>
  <si>
    <t>Latest Gilt curve</t>
  </si>
  <si>
    <t>Curve date</t>
  </si>
  <si>
    <t>ALM.CURVE_DATES spills every stored date, newest first — TAKE keeps the display tidy.</t>
  </si>
  <si>
    <t>Tenor (yrs)</t>
  </si>
  <si>
    <t>Gilt nominal</t>
  </si>
  <si>
    <t>SONIA OIS</t>
  </si>
  <si>
    <t>Implied inflation</t>
  </si>
  <si>
    <t>Curve types</t>
  </si>
  <si>
    <t>Latest OIS dates</t>
  </si>
  <si>
    <t>—</t>
  </si>
  <si>
    <t>Published ranges differ by curve: Gilt to 40y, OIS to 25y, implied inflation from 2.5y.</t>
  </si>
  <si>
    <t>Forwards and weekends</t>
  </si>
  <si>
    <t>10y Gilt forward</t>
  </si>
  <si>
    <t>Weekend + backfill</t>
  </si>
  <si>
    <t>Any curve function takes data_type "forward"; backfill TRUE rolls a non-trading date back to the last published value.</t>
  </si>
  <si>
    <t>International risk-free rates at 10 years (ALM.RFR)</t>
  </si>
  <si>
    <t>UK</t>
  </si>
  <si>
    <t>EU</t>
  </si>
  <si>
    <t>US</t>
  </si>
  <si>
    <t>CA</t>
  </si>
  <si>
    <t>Time series, the vectorised way: 10y Gilt, January 2025</t>
  </si>
  <si>
    <t>One formula, pointed at the date column, spills the whole series.</t>
  </si>
  <si>
    <t>Date</t>
  </si>
  <si>
    <t>10y Gilt %</t>
  </si>
  <si>
    <t>Fit once with ALM.SW_FIT, then rates, discount factors, curves and diagnostics from the handle</t>
  </si>
  <si>
    <t>1 — Fit the curve (returns a fit handle)</t>
  </si>
  <si>
    <t>Full curve to 60y</t>
  </si>
  <si>
    <t>Fit handle</t>
  </si>
  <si>
    <t>ALM.SW_CURVE spills ~720 monthly rows — give it room.</t>
  </si>
  <si>
    <t>Optional arguments: alpha, UFR, day count — defaults follow the Solvency II convention.</t>
  </si>
  <si>
    <t>2 — Read from the fit (vectorised over maturity dates)</t>
  </si>
  <si>
    <t>Maturity</t>
  </si>
  <si>
    <t>Spot rate %</t>
  </si>
  <si>
    <t>Discount factor</t>
  </si>
  <si>
    <t>+5 years</t>
  </si>
  <si>
    <t>+10 years</t>
  </si>
  <si>
    <t>+20 years</t>
  </si>
  <si>
    <t>+30 years</t>
  </si>
  <si>
    <t>+50 years</t>
  </si>
  <si>
    <t>Your own parameters</t>
  </si>
  <si>
    <t>Fit with alpha 0.05</t>
  </si>
  <si>
    <t>50y rate, alpha 0.05</t>
  </si>
  <si>
    <t>Every parameter is explicit and reproducible — compare fits side by side.</t>
  </si>
  <si>
    <t>Fit diagnostics (ALM.SW_META — spills 8 label/value rows)</t>
  </si>
  <si>
    <t>ALM.SONIA · ALM.BANKRATE · ALM.SONIA_INDEX · ALM.STERLING_ERI · ALM.FX</t>
  </si>
  <si>
    <t>Benchmark rates</t>
  </si>
  <si>
    <t>SONIA (%)</t>
  </si>
  <si>
    <t>Bank Rate (%)</t>
  </si>
  <si>
    <t>SONIA Compounded Index</t>
  </si>
  <si>
    <t>Sterling ERI</t>
  </si>
  <si>
    <t>16 March 2024 is a Saturday — backfill TRUE returns Friday's rate instead of an error.</t>
  </si>
  <si>
    <t>Sterling FX — units of currency per £1 (ALM.FX)</t>
  </si>
  <si>
    <t>USD</t>
  </si>
  <si>
    <t>EUR</t>
  </si>
  <si>
    <t>JPY</t>
  </si>
  <si>
    <t>CHF</t>
  </si>
  <si>
    <t>22 pairs available — every code the Bank of England publishes (see the Discovery sheet).</t>
  </si>
  <si>
    <t>Time series: daily SONIA and GBP/USD, December 2024</t>
  </si>
  <si>
    <t>SONIA %</t>
  </si>
  <si>
    <t>GBP/USD</t>
  </si>
  <si>
    <t>ALM.RPI · ALM.CPI · ALM.CPIH · ALM.RPIX + year-on-year rates</t>
  </si>
  <si>
    <t>Index levels and annual rates</t>
  </si>
  <si>
    <t>Month</t>
  </si>
  <si>
    <t>Index</t>
  </si>
  <si>
    <t>Level</t>
  </si>
  <si>
    <t>Year-on-year %</t>
  </si>
  <si>
    <t>RPI</t>
  </si>
  <si>
    <t>CPI</t>
  </si>
  <si>
    <t>CPIH</t>
  </si>
  <si>
    <t>RPIX</t>
  </si>
  <si>
    <t>Full history: RPI back to 1948, CPI and CPIH to 1988.</t>
  </si>
  <si>
    <t>Time series: CPI level and annual rate through 2024</t>
  </si>
  <si>
    <t>CPI level</t>
  </si>
  <si>
    <t>CPI YoY %</t>
  </si>
  <si>
    <t>ALM.MORTALITY · ALM.SURVIVORS · ALM.LIFE_EXPECTANCY · full-table spills</t>
  </si>
  <si>
    <t>ONS national period life table — one spill per column</t>
  </si>
  <si>
    <t>Full table (male)</t>
  </si>
  <si>
    <t>qx only (female)</t>
  </si>
  <si>
    <t>Period</t>
  </si>
  <si>
    <t>2022-2024</t>
  </si>
  <si>
    <t>ALM.LIFE_TABLE spills all ages × five columns.</t>
  </si>
  <si>
    <t>ALM.MORTALITY_TABLE spills the mortality column alone.</t>
  </si>
  <si>
    <t>Age</t>
  </si>
  <si>
    <t>qx (M)</t>
  </si>
  <si>
    <t>lx (M)</t>
  </si>
  <si>
    <t>ex (M)</t>
  </si>
  <si>
    <t>qx (F)</t>
  </si>
  <si>
    <t>lx (F)</t>
  </si>
  <si>
    <t>ex (F)</t>
  </si>
  <si>
    <t>qx = probability of death within the year; lx = survivors per 100,000 born; ex = remaining life expectancy.</t>
  </si>
  <si>
    <t>Each column is ONE formula pointed at the age range — the results spill.</t>
  </si>
  <si>
    <t>Available periods (ALM.LIFE_PERIODS — latest six via TAKE)</t>
  </si>
  <si>
    <t>PRA Fundamental Spreads</t>
  </si>
  <si>
    <t>ALM.PRA_FS and every component — Matching Adjustment inputs</t>
  </si>
  <si>
    <t>Inputs</t>
  </si>
  <si>
    <t>Complete published table</t>
  </si>
  <si>
    <t>Currency</t>
  </si>
  <si>
    <t>GBP</t>
  </si>
  <si>
    <t>ALM.PRA_TABLE spills the whole publication for one (currency, sector, date).</t>
  </si>
  <si>
    <t>Sector</t>
  </si>
  <si>
    <t>non-financial</t>
  </si>
  <si>
    <t>Effective date</t>
  </si>
  <si>
    <t>The effective date is discovered live — always the latest PRA publication.</t>
  </si>
  <si>
    <t>Fundamental spread (bps) by rating and tenor — ALM.PRA_FS</t>
  </si>
  <si>
    <t>Rating</t>
  </si>
  <si>
    <t>5y</t>
  </si>
  <si>
    <t>10y</t>
  </si>
  <si>
    <t>15y</t>
  </si>
  <si>
    <t>20y</t>
  </si>
  <si>
    <t>30y</t>
  </si>
  <si>
    <t>AA</t>
  </si>
  <si>
    <t>A</t>
  </si>
  <si>
    <t>BBB</t>
  </si>
  <si>
    <t>Components for A-rated, 10-year</t>
  </si>
  <si>
    <t>Fundamental spread (bps)</t>
  </si>
  <si>
    <t>PD spread (bps)</t>
  </si>
  <si>
    <t>Cost of downgrade (bps)</t>
  </si>
  <si>
    <t>Long-term avg spread (bps)</t>
  </si>
  <si>
    <t>Probability of default</t>
  </si>
  <si>
    <t>Full breakdown for AA — every tenor, every component (one spill)</t>
  </si>
  <si>
    <t>Currencies</t>
  </si>
  <si>
    <t>Sectors</t>
  </si>
  <si>
    <t>Tenors (yrs)</t>
  </si>
  <si>
    <t>Dates</t>
  </si>
  <si>
    <t>Rating scale</t>
  </si>
  <si>
    <t>Discovery &amp; Metadata</t>
  </si>
  <si>
    <t>ALM.AVAILABLE_SERIES · ALM.LATEST_DATE · ALM.AVAILABLE_DATES · ALM.SERIES_INFO</t>
  </si>
  <si>
    <t>Freshness at a glance (ALM.LATEST_DATE)</t>
  </si>
  <si>
    <t>Series metadata</t>
  </si>
  <si>
    <t>Stored dates</t>
  </si>
  <si>
    <t>Series</t>
  </si>
  <si>
    <t>Latest data</t>
  </si>
  <si>
    <t>ALM.SERIES_INFO spills a label/value block for any series.</t>
  </si>
  <si>
    <t>ALM.AVAILABLE_DATES — every date, newest first; TAKE(...,10) shows the latest ten.</t>
  </si>
  <si>
    <t>SONIA</t>
  </si>
  <si>
    <t>GILT</t>
  </si>
  <si>
    <t>PRA_SPREAD</t>
  </si>
  <si>
    <t>FX</t>
  </si>
  <si>
    <t>One formula, six series — spills the whole column.</t>
  </si>
  <si>
    <t>Everything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</si>
</sst>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\-mm\-dd"/>
    <numFmt numFmtId="165" formatCode="0.000"/>
    <numFmt numFmtId="166" formatCode="0.0000"/>
    <numFmt numFmtId="167" formatCode="0.0"/>
    <numFmt numFmtId="168" formatCode="0.000000"/>
  </numFmts>
  <fonts count="8" x14ac:knownFonts="1">
    <font>
      <sz val="11"/>
      <color theme="1"/>
      <name val="Calibri"/>
      <family val="2"/>
      <scheme val="minor"/>
    </font>
    <font>
      <b/>
      <sz val="20"/>
      <color rgb="FFFFFFFF"/>
      <name val="Arial"/>
      <family val="2"/>
    </font>
    <font>
      <sz val="11"/>
      <color rgb="FFD1E0E8"/>
      <name val="Arial"/>
      <family val="2"/>
    </font>
    <font>
      <b/>
      <sz val="13"/>
      <color rgb="FF19546A"/>
      <name val="Arial"/>
      <family val="2"/>
    </font>
    <font>
      <sz val="10"/>
      <color rgb="FF374151"/>
      <name val="Arial"/>
      <family val="2"/>
    </font>
    <font>
      <b/>
      <sz val="10"/>
      <color rgb="FF0C2D38"/>
      <name val="Arial"/>
      <family val="2"/>
    </font>
    <font>
      <i/>
      <sz val="9"/>
      <color rgb="FF6B7280"/>
      <name val="Arial"/>
      <family val="2"/>
    </font>
    <font>
      <b/>
      <sz val="10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9546A"/>
      </patternFill>
    </fill>
    <fill>
      <patternFill patternType="solid">
        <fgColor rgb="FFE8F0F4"/>
      </patternFill>
    </fill>
    <fill>
      <patternFill patternType="solid">
        <fgColor rgb="FF225E76"/>
      </patternFill>
    </fill>
  </fills>
  <borders count="2">
    <border>
      <left/>
      <right/>
      <top/>
      <bottom/>
      <diagonal/>
    </border>
    <border>
      <left style="thin">
        <color rgb="FFB8CDD6"/>
      </left>
      <right style="thin">
        <color rgb="FFB8CDD6"/>
      </right>
      <top style="thin">
        <color rgb="FFB8CDD6"/>
      </top>
      <bottom style="thin">
        <color rgb="FFB8CDD6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0" fontId="5" fillId="3" borderId="1" xfId="0" applyFont="1" applyFill="1" applyBorder="1"/>
    <xf numFmtId="0" fontId="4" fillId="0" borderId="1" xfId="0" applyFont="1" applyBorder="1"/>
    <xf numFmtId="164" fontId="0" fillId="0" borderId="1" xfId="0" applyNumberFormat="1" applyBorder="1"/>
    <xf numFmtId="0" fontId="7" fillId="4" borderId="1" xfId="0" applyFont="1" applyFill="1" applyBorder="1" applyAlignment="1">
      <alignment horizontal="center"/>
    </xf>
    <xf numFmtId="165" fontId="0" fillId="0" borderId="1" xfId="0" applyNumberFormat="1" applyBorder="1"/>
    <xf numFmtId="0" fontId="0" fillId="0" borderId="1" xfId="0" applyBorder="1"/>
    <xf numFmtId="164" fontId="0" fillId="0" borderId="0" xfId="0" applyNumberFormat="1"/>
    <xf numFmtId="0" fontId="0" fillId="0" borderId="1" xfId="0" applyBorder="1" applyAlignment="1">
      <alignment horizontal="center"/>
    </xf>
    <xf numFmtId="165" fontId="0" fillId="0" borderId="0" xfId="0" applyNumberFormat="1"/>
    <xf numFmtId="166" fontId="0" fillId="0" borderId="1" xfId="0" applyNumberFormat="1" applyBorder="1"/>
    <xf numFmtId="166" fontId="0" fillId="0" borderId="0" xfId="0" applyNumberFormat="1"/>
    <xf numFmtId="167" fontId="0" fillId="0" borderId="1" xfId="0" applyNumberFormat="1" applyBorder="1"/>
    <xf numFmtId="167" fontId="0" fillId="0" borderId="0" xfId="0" applyNumberFormat="1"/>
    <xf numFmtId="1" fontId="0" fillId="0" borderId="1" xfId="0" applyNumberFormat="1" applyBorder="1"/>
    <xf numFmtId="168" fontId="0" fillId="0" borderId="0" xfId="0" applyNumberFormat="1"/>
    <xf numFmtId="168" fontId="0" fillId="0" borderId="1" xfId="0" applyNumberFormat="1" applyBorder="1"/>
    <xf numFmtId="3" fontId="0" fillId="0" borderId="1" xfId="0" applyNumberFormat="1" applyBorder="1"/>
    <xf numFmtId="1" fontId="0" fillId="0" borderId="0" xfId="0" applyNumberFormat="1"/>
    <xf numFmtId="3" fontId="0" fillId="0" borderId="0" xfId="0" applyNumberFormat="1"/>
    <xf numFmtId="0" fontId="3" fillId="0" borderId="0" xfId="0" applyFont="1"/>
    <xf numFmtId="0" fontId="0" fillId="0" borderId="0" xfId="0"/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vertical="top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EDEA077-F66E-434B-91B7-04B42C778047}">
  <we:reference id="354ee0f0-1c14-4a45-9d3b-583a8bccbb48" version="0.1.0.28" store="developer" storeType="Registry"/>
  <we:alternateReferences/>
  <we:properties>
    <we:property name="alm.handles.v1" value="[{&quot;name&quot;:&quot;sw_1q4ecw3&quot;,&quot;address&quot;:&quot;'Smith-Wilson'!C5&quot;,&quot;params&quot;:{&quot;curve_type&quot;:&quot;GILT_NOMINAL&quot;,&quot;curve_date&quot;:&quot;2024-12-31&quot;,&quot;alpha&quot;:null,&quot;ufr&quot;:null,&quot;day_count&quot;:&quot;ACT/365.25&quot;,&quot;backfill&quot;:false}},{&quot;name&quot;:&quot;sw_0ll85y0&quot;,&quot;address&quot;:&quot;'Smith-Wilson'!C17&quot;,&quot;params&quot;:{&quot;curve_type&quot;:&quot;GILT_NOMINAL&quot;,&quot;curve_date&quot;:&quot;2024-12-31&quot;,&quot;alpha&quot;:0.05,&quot;ufr&quot;:null,&quot;day_count&quot;:&quot;ACT/365.25&quot;,&quot;backfill&quot;:false}}]"/>
  </we:properties>
  <we:bindings/>
  <we:snapshot xmlns:r="http://schemas.openxmlformats.org/officeDocument/2006/relationships"/>
  <we:extLst>
    <a:ext xmlns:a="http://schemas.openxmlformats.org/drawingml/2006/main" uri="{7C84B067-C214-45C3-A712-C9D94CD141B2}">
      <we:customFunctionIdList>
        <we:customFunctionIds>_xldudf_ALM_SONIA</we:customFunctionIds>
        <we:customFunctionIds>_xldudf_ALM_BANKRATE</we:customFunctionIds>
        <we:customFunctionIds>_xldudf_ALM_FX</we:customFunctionIds>
        <we:customFunctionIds>_xldudf_ALM_SONIA_INDEX</we:customFunctionIds>
        <we:customFunctionIds>_xldudf_ALM_STERLING_ERI</we:customFunctionIds>
        <we:customFunctionIds>_xldudf_ALM_GILT</we:customFunctionIds>
        <we:customFunctionIds>_xldudf_ALM_OIS</we:customFunctionIds>
        <we:customFunctionIds>_xldudf_ALM_INFLATION</we:customFunctionIds>
        <we:customFunctionIds>_xldudf_ALM_RFR</we:customFunctionIds>
        <we:customFunctionIds>_xldudf_ALM_SW_FIT</we:customFunctionIds>
        <we:customFunctionIds>_xldudf_ALM_SW_ZCB</we:customFunctionIds>
        <we:customFunctionIds>_xldudf_ALM_SW_RATE</we:customFunctionIds>
        <we:customFunctionIds>_xldudf_ALM_SW_CURVE</we:customFunctionIds>
        <we:customFunctionIds>_xldudf_ALM_SW_META</we:customFunctionIds>
        <we:customFunctionIds>_xldudf_ALM_CURVE_TYPES</we:customFunctionIds>
        <we:customFunctionIds>_xldudf_ALM_CURVE_DATES</we:customFunctionIds>
        <we:customFunctionIds>_xldudf_ALM_LATEST_CURVE_DATE</we:customFunctionIds>
        <we:customFunctionIds>_xldudf_ALM_RPI</we:customFunctionIds>
        <we:customFunctionIds>_xldudf_ALM_CPI</we:customFunctionIds>
        <we:customFunctionIds>_xldudf_ALM_CPIH</we:customFunctionIds>
        <we:customFunctionIds>_xldudf_ALM_RPIX</we:customFunctionIds>
        <we:customFunctionIds>_xldudf_ALM_RPI_YOY</we:customFunctionIds>
        <we:customFunctionIds>_xldudf_ALM_RPIX_YOY</we:customFunctionIds>
        <we:customFunctionIds>_xldudf_ALM_CPI_YOY</we:customFunctionIds>
        <we:customFunctionIds>_xldudf_ALM_CPIH_YOY</we:customFunctionIds>
        <we:customFunctionIds>_xldudf_ALM_MORTALITY</we:customFunctionIds>
        <we:customFunctionIds>_xldudf_ALM_SURVIVORS</we:customFunctionIds>
        <we:customFunctionIds>_xldudf_ALM_LIFE_EXPECTANCY</we:customFunctionIds>
        <we:customFunctionIds>_xldudf_ALM_MORTALITY_TABLE</we:customFunctionIds>
        <we:customFunctionIds>_xldudf_ALM_LIFE_TABLE</we:customFunctionIds>
        <we:customFunctionIds>_xldudf_ALM_LIFE_PERIODS</we:customFunctionIds>
        <we:customFunctionIds>_xldudf_ALM_PRA_FS</we:customFunctionIds>
        <we:customFunctionIds>_xldudf_ALM_PRA_PD_PROB</we:customFunctionIds>
        <we:customFunctionIds>_xldudf_ALM_PRA_PD_SPREAD</we:customFunctionIds>
        <we:customFunctionIds>_xldudf_ALM_PRA_COD</we:customFunctionIds>
        <we:customFunctionIds>_xldudf_ALM_PRA_LTAS</we:customFunctionIds>
        <we:customFunctionIds>_xldudf_ALM_PRA_FS_BREAKDOWN</we:customFunctionIds>
        <we:customFunctionIds>_xldudf_ALM_PRA_TABLE</we:customFunctionIds>
        <we:customFunctionIds>_xldudf_ALM_PRA_DATES</we:customFunctionIds>
        <we:customFunctionIds>_xldudf_ALM_LATEST_PRA_DATE</we:customFunctionIds>
        <we:customFunctionIds>_xldudf_ALM_PRA_CQS_LABELS</we:customFunctionIds>
        <we:customFunctionIds>_xldudf_ALM_PRA_TENORS</we:customFunctionIds>
        <we:customFunctionIds>_xldudf_ALM_PRA_CURRENCIES</we:customFunctionIds>
        <we:customFunctionIds>_xldudf_ALM_PRA_SECTORS</we:customFunctionIds>
        <we:customFunctionIds>_xldudf_ALM_AVAILABLE_SERIES</we:customFunctionIds>
        <we:customFunctionIds>_xldudf_ALM_AVAILABLE_DATES</we:customFunctionIds>
        <we:customFunctionIds>_xldudf_ALM_LATEST_DATE</we:customFunctionIds>
        <we:customFunctionIds>_xldudf_ALM_SERIES_INFO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showGridLines="0" tabSelected="1" workbookViewId="0">
      <selection activeCell="B4" sqref="B4:H4"/>
    </sheetView>
  </sheetViews>
  <sheetFormatPr baseColWidth="10" defaultColWidth="8.83203125" defaultRowHeight="15" x14ac:dyDescent="0.2"/>
  <cols>
    <col min="1" max="1" width="3" customWidth="1"/>
    <col min="2" max="2" width="24" customWidth="1"/>
    <col min="3" max="3" width="78" customWidth="1"/>
  </cols>
  <sheetData>
    <row r="1" spans="1:9" ht="34" customHeight="1" x14ac:dyDescent="0.2">
      <c r="A1" s="25" t="s">
        <v>0</v>
      </c>
      <c r="B1" s="24"/>
      <c r="C1" s="24"/>
      <c r="D1" s="24"/>
      <c r="E1" s="24"/>
      <c r="F1" s="24"/>
      <c r="G1" s="24"/>
      <c r="H1" s="24"/>
      <c r="I1" s="24"/>
    </row>
    <row r="2" spans="1:9" ht="18" customHeight="1" x14ac:dyDescent="0.2">
      <c r="A2" s="23" t="s">
        <v>1</v>
      </c>
      <c r="B2" s="24"/>
      <c r="C2" s="24"/>
      <c r="D2" s="24"/>
      <c r="E2" s="24"/>
      <c r="F2" s="24"/>
      <c r="G2" s="24"/>
      <c r="H2" s="24"/>
      <c r="I2" s="24"/>
    </row>
    <row r="4" spans="1:9" ht="17" x14ac:dyDescent="0.2">
      <c r="B4" s="21" t="s">
        <v>2</v>
      </c>
      <c r="C4" s="22"/>
      <c r="D4" s="22"/>
      <c r="E4" s="22"/>
      <c r="F4" s="22"/>
      <c r="G4" s="22"/>
      <c r="H4" s="22"/>
    </row>
    <row r="6" spans="1:9" x14ac:dyDescent="0.2">
      <c r="B6" s="1" t="s">
        <v>3</v>
      </c>
    </row>
    <row r="7" spans="1:9" x14ac:dyDescent="0.2">
      <c r="B7" s="1" t="s">
        <v>4</v>
      </c>
    </row>
    <row r="8" spans="1:9" x14ac:dyDescent="0.2">
      <c r="B8" s="1" t="s">
        <v>5</v>
      </c>
    </row>
    <row r="9" spans="1:9" x14ac:dyDescent="0.2">
      <c r="B9" s="1"/>
    </row>
    <row r="10" spans="1:9" x14ac:dyDescent="0.2">
      <c r="B10" s="1" t="s">
        <v>6</v>
      </c>
    </row>
    <row r="11" spans="1:9" x14ac:dyDescent="0.2">
      <c r="B11" s="1" t="s">
        <v>7</v>
      </c>
    </row>
    <row r="12" spans="1:9" x14ac:dyDescent="0.2">
      <c r="B12" s="1" t="s">
        <v>8</v>
      </c>
    </row>
    <row r="14" spans="1:9" ht="17" x14ac:dyDescent="0.2">
      <c r="B14" s="21" t="s">
        <v>9</v>
      </c>
      <c r="C14" s="22"/>
      <c r="D14" s="22"/>
      <c r="E14" s="22"/>
      <c r="F14" s="22"/>
      <c r="G14" s="22"/>
      <c r="H14" s="22"/>
    </row>
    <row r="15" spans="1:9" x14ac:dyDescent="0.2">
      <c r="B15" s="2" t="s">
        <v>10</v>
      </c>
      <c r="C15" s="3" t="s">
        <v>11</v>
      </c>
    </row>
    <row r="16" spans="1:9" x14ac:dyDescent="0.2">
      <c r="B16" s="2" t="s">
        <v>12</v>
      </c>
      <c r="C16" s="3" t="s">
        <v>13</v>
      </c>
    </row>
    <row r="17" spans="2:8" x14ac:dyDescent="0.2">
      <c r="B17" s="2" t="s">
        <v>14</v>
      </c>
      <c r="C17" s="3" t="s">
        <v>15</v>
      </c>
    </row>
    <row r="18" spans="2:8" x14ac:dyDescent="0.2">
      <c r="B18" s="2" t="s">
        <v>16</v>
      </c>
      <c r="C18" s="3" t="s">
        <v>17</v>
      </c>
    </row>
    <row r="19" spans="2:8" x14ac:dyDescent="0.2">
      <c r="B19" s="2" t="s">
        <v>18</v>
      </c>
      <c r="C19" s="3" t="s">
        <v>19</v>
      </c>
    </row>
    <row r="20" spans="2:8" x14ac:dyDescent="0.2">
      <c r="B20" s="2" t="s">
        <v>20</v>
      </c>
      <c r="C20" s="3" t="s">
        <v>21</v>
      </c>
    </row>
    <row r="21" spans="2:8" x14ac:dyDescent="0.2">
      <c r="B21" s="2" t="s">
        <v>22</v>
      </c>
      <c r="C21" s="3" t="s">
        <v>23</v>
      </c>
    </row>
    <row r="23" spans="2:8" x14ac:dyDescent="0.2">
      <c r="B23" s="26" t="s">
        <v>24</v>
      </c>
      <c r="C23" s="22"/>
      <c r="D23" s="22"/>
      <c r="E23" s="22"/>
      <c r="F23" s="22"/>
      <c r="G23" s="22"/>
      <c r="H23" s="22"/>
    </row>
    <row r="24" spans="2:8" x14ac:dyDescent="0.2">
      <c r="B24" s="26" t="s">
        <v>25</v>
      </c>
      <c r="C24" s="22"/>
      <c r="D24" s="22"/>
      <c r="E24" s="22"/>
      <c r="F24" s="22"/>
      <c r="G24" s="22"/>
      <c r="H24" s="22"/>
    </row>
  </sheetData>
  <mergeCells count="6">
    <mergeCell ref="B14:H14"/>
    <mergeCell ref="A2:I2"/>
    <mergeCell ref="B4:H4"/>
    <mergeCell ref="A1:I1"/>
    <mergeCell ref="B24:H24"/>
    <mergeCell ref="B23:H2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showGridLines="0" workbookViewId="0"/>
  </sheetViews>
  <sheetFormatPr baseColWidth="10" defaultColWidth="8.83203125" defaultRowHeight="15" x14ac:dyDescent="0.2"/>
  <cols>
    <col min="1" max="1" width="3" customWidth="1"/>
    <col min="2" max="2" width="20" customWidth="1"/>
    <col min="3" max="5" width="16" customWidth="1"/>
    <col min="6" max="6" width="4" customWidth="1"/>
    <col min="7" max="7" width="14" customWidth="1"/>
    <col min="8" max="8" width="16" customWidth="1"/>
    <col min="9" max="9" width="4" customWidth="1"/>
    <col min="10" max="10" width="22" customWidth="1"/>
    <col min="11" max="11" width="16" customWidth="1"/>
  </cols>
  <sheetData>
    <row r="1" spans="1:11" ht="34" customHeight="1" x14ac:dyDescent="0.2">
      <c r="A1" s="25" t="s">
        <v>10</v>
      </c>
      <c r="B1" s="24"/>
      <c r="C1" s="24"/>
      <c r="D1" s="24"/>
      <c r="E1" s="24"/>
      <c r="F1" s="24"/>
      <c r="G1" s="24"/>
      <c r="H1" s="24"/>
      <c r="I1" s="24"/>
      <c r="J1" s="24"/>
    </row>
    <row r="2" spans="1:11" ht="18" customHeight="1" x14ac:dyDescent="0.2">
      <c r="A2" s="23" t="s">
        <v>26</v>
      </c>
      <c r="B2" s="24"/>
      <c r="C2" s="24"/>
      <c r="D2" s="24"/>
      <c r="E2" s="24"/>
      <c r="F2" s="24"/>
      <c r="G2" s="24"/>
      <c r="H2" s="24"/>
      <c r="I2" s="24"/>
      <c r="J2" s="24"/>
    </row>
    <row r="4" spans="1:11" ht="17" x14ac:dyDescent="0.2">
      <c r="B4" s="21" t="s">
        <v>27</v>
      </c>
      <c r="C4" s="22"/>
      <c r="D4" s="22"/>
      <c r="E4" s="22"/>
      <c r="F4" s="22"/>
      <c r="G4" s="22"/>
      <c r="H4" s="22"/>
      <c r="J4" s="2" t="s">
        <v>28</v>
      </c>
      <c r="K4" s="4" cm="1">
        <f t="array" ref="K4">_xldudf_ALM_LATEST_CURVE_DATE("GILT_NOMINAL")</f>
        <v>46261</v>
      </c>
    </row>
    <row r="5" spans="1:11" x14ac:dyDescent="0.2">
      <c r="B5" s="2" t="s">
        <v>29</v>
      </c>
      <c r="C5" s="4">
        <f>DATE(2024,12,31)</f>
        <v>45657</v>
      </c>
      <c r="J5" s="26" t="s">
        <v>30</v>
      </c>
      <c r="K5" s="22"/>
    </row>
    <row r="6" spans="1:11" x14ac:dyDescent="0.2">
      <c r="B6" s="5" t="s">
        <v>31</v>
      </c>
      <c r="C6" s="5" t="s">
        <v>32</v>
      </c>
      <c r="D6" s="5" t="s">
        <v>33</v>
      </c>
      <c r="E6" s="5" t="s">
        <v>34</v>
      </c>
      <c r="J6" s="2" t="s">
        <v>35</v>
      </c>
      <c r="K6" s="2" t="s">
        <v>36</v>
      </c>
    </row>
    <row r="7" spans="1:11" x14ac:dyDescent="0.2">
      <c r="B7" s="2">
        <v>3</v>
      </c>
      <c r="C7" s="6" cm="1">
        <f t="array" ref="C7">_xldudf_ALM_GILT(B7,$C$5)</f>
        <v>4.1785670000000001</v>
      </c>
      <c r="D7" s="6" cm="1">
        <f t="array" ref="D7">_xldudf_ALM_OIS(B7,$C$5)</f>
        <v>4.1063822700000001</v>
      </c>
      <c r="E7" s="6" cm="1">
        <f t="array" ref="E7">_xldudf_ALM_INFLATION(B7,$C$5)</f>
        <v>3.87471626</v>
      </c>
      <c r="J7" s="7" t="str" cm="1">
        <f t="array" ref="J7:J13">_xldudf_ALM_CURVE_TYPES()</f>
        <v>GILT_NOMINAL</v>
      </c>
      <c r="K7" s="4" t="str" cm="1">
        <f t="array" ref="K7:K16">_xlfn.TAKE(_xldudf_ALM_CURVE_DATES("OIS"),10)</f>
        <v>2026-08-27</v>
      </c>
    </row>
    <row r="8" spans="1:11" x14ac:dyDescent="0.2">
      <c r="B8" s="2">
        <v>5</v>
      </c>
      <c r="C8" s="6" cm="1">
        <f t="array" ref="C8">_xldudf_ALM_GILT(B8,$C$5)</f>
        <v>4.2211041700000003</v>
      </c>
      <c r="D8" s="6" cm="1">
        <f t="array" ref="D8">_xldudf_ALM_OIS(B8,$C$5)</f>
        <v>3.9917909300000001</v>
      </c>
      <c r="E8" s="6" cm="1">
        <f t="array" ref="E8">_xldudf_ALM_INFLATION(B8,$C$5)</f>
        <v>3.6563897000000001</v>
      </c>
      <c r="J8" t="str">
        <v>INFLATION</v>
      </c>
      <c r="K8" s="8" t="str">
        <v>2026-08-26</v>
      </c>
    </row>
    <row r="9" spans="1:11" x14ac:dyDescent="0.2">
      <c r="B9" s="2">
        <v>10</v>
      </c>
      <c r="C9" s="6" cm="1">
        <f t="array" ref="C9">_xldudf_ALM_GILT(B9,$C$5)</f>
        <v>4.57006158</v>
      </c>
      <c r="D9" s="6" cm="1">
        <f t="array" ref="D9">_xldudf_ALM_OIS(B9,$C$5)</f>
        <v>4.0261460500000004</v>
      </c>
      <c r="E9" s="6" cm="1">
        <f t="array" ref="E9">_xldudf_ALM_INFLATION(B9,$C$5)</f>
        <v>3.4832504900000001</v>
      </c>
      <c r="J9" t="str">
        <v>OIS</v>
      </c>
      <c r="K9" s="8" t="str">
        <v>2026-08-25</v>
      </c>
    </row>
    <row r="10" spans="1:11" x14ac:dyDescent="0.2">
      <c r="B10" s="2">
        <v>15</v>
      </c>
      <c r="C10" s="6" cm="1">
        <f t="array" ref="C10">_xldudf_ALM_GILT(B10,$C$5)</f>
        <v>4.9242144300000001</v>
      </c>
      <c r="D10" s="6" cm="1">
        <f t="array" ref="D10">_xldudf_ALM_OIS(B10,$C$5)</f>
        <v>4.1728440000000004</v>
      </c>
      <c r="E10" s="6" cm="1">
        <f t="array" ref="E10">_xldudf_ALM_INFLATION(B10,$C$5)</f>
        <v>3.4486533700000002</v>
      </c>
      <c r="J10" t="str">
        <v>RFR_CA</v>
      </c>
      <c r="K10" s="8" t="str">
        <v>2026-08-24</v>
      </c>
    </row>
    <row r="11" spans="1:11" x14ac:dyDescent="0.2">
      <c r="B11" s="2">
        <v>20</v>
      </c>
      <c r="C11" s="6" cm="1">
        <f t="array" ref="C11">_xldudf_ALM_GILT(B11,$C$5)</f>
        <v>5.1279064999999999</v>
      </c>
      <c r="D11" s="6" cm="1">
        <f t="array" ref="D11">_xldudf_ALM_OIS(B11,$C$5)</f>
        <v>4.2480390200000002</v>
      </c>
      <c r="E11" s="6" cm="1">
        <f t="array" ref="E11">_xldudf_ALM_INFLATION(B11,$C$5)</f>
        <v>3.3984037300000001</v>
      </c>
      <c r="J11" t="str">
        <v>RFR_EU</v>
      </c>
      <c r="K11" s="8" t="str">
        <v>2026-08-21</v>
      </c>
    </row>
    <row r="12" spans="1:11" x14ac:dyDescent="0.2">
      <c r="B12" s="2">
        <v>25</v>
      </c>
      <c r="C12" s="6" cm="1">
        <f t="array" ref="C12">_xldudf_ALM_GILT(B12,$C$5)</f>
        <v>5.1822828400000001</v>
      </c>
      <c r="D12" s="6" cm="1">
        <f t="array" ref="D12">_xldudf_ALM_OIS(B12,$C$5)</f>
        <v>4.2405134799999997</v>
      </c>
      <c r="E12" s="6" cm="1">
        <f t="array" ref="E12">_xldudf_ALM_INFLATION(B12,$C$5)</f>
        <v>3.3249439999999999</v>
      </c>
      <c r="J12" t="str">
        <v>RFR_UK</v>
      </c>
      <c r="K12" s="8" t="str">
        <v>2026-08-20</v>
      </c>
    </row>
    <row r="13" spans="1:11" x14ac:dyDescent="0.2">
      <c r="B13" s="2">
        <v>30</v>
      </c>
      <c r="C13" s="6" cm="1">
        <f t="array" ref="C13">_xldudf_ALM_GILT(B13,$C$5)</f>
        <v>5.1485844600000004</v>
      </c>
      <c r="D13" s="9" t="s">
        <v>37</v>
      </c>
      <c r="E13" s="9" t="s">
        <v>37</v>
      </c>
      <c r="J13" t="str">
        <v>RFR_US</v>
      </c>
      <c r="K13" s="8" t="str">
        <v>2026-08-19</v>
      </c>
    </row>
    <row r="14" spans="1:11" x14ac:dyDescent="0.2">
      <c r="B14" s="2">
        <v>40</v>
      </c>
      <c r="C14" s="6" cm="1">
        <f t="array" ref="C14">_xldudf_ALM_GILT(B14,$C$5)</f>
        <v>4.8974250899999996</v>
      </c>
      <c r="D14" s="9" t="s">
        <v>37</v>
      </c>
      <c r="E14" s="9" t="s">
        <v>37</v>
      </c>
      <c r="K14" s="8" t="str">
        <v>2026-08-18</v>
      </c>
    </row>
    <row r="15" spans="1:11" x14ac:dyDescent="0.2">
      <c r="B15" s="26" t="s">
        <v>38</v>
      </c>
      <c r="C15" s="22"/>
      <c r="D15" s="22"/>
      <c r="E15" s="22"/>
      <c r="F15" s="22"/>
      <c r="G15" s="22"/>
      <c r="H15" s="22"/>
      <c r="K15" s="8" t="str">
        <v>2026-08-17</v>
      </c>
    </row>
    <row r="16" spans="1:11" x14ac:dyDescent="0.2">
      <c r="K16" s="8" t="str">
        <v>2026-08-14</v>
      </c>
    </row>
    <row r="17" spans="2:8" ht="17" x14ac:dyDescent="0.2">
      <c r="B17" s="21" t="s">
        <v>39</v>
      </c>
      <c r="C17" s="22"/>
      <c r="D17" s="22"/>
      <c r="E17" s="22"/>
      <c r="F17" s="22"/>
      <c r="G17" s="22"/>
      <c r="H17" s="22"/>
    </row>
    <row r="18" spans="2:8" x14ac:dyDescent="0.2">
      <c r="B18" s="2" t="s">
        <v>40</v>
      </c>
      <c r="C18" s="6" cm="1">
        <f t="array" ref="C18">_xldudf_ALM_GILT(10,$C$5,FALSE,"forward")</f>
        <v>5.3592267299999996</v>
      </c>
    </row>
    <row r="19" spans="2:8" x14ac:dyDescent="0.2">
      <c r="B19" s="2" t="s">
        <v>41</v>
      </c>
      <c r="C19" s="6" cm="1">
        <f t="array" ref="C19">_xldudf_ALM_GILT(10,DATE(2024,12,29),TRUE)</f>
        <v>4.2332653999999996</v>
      </c>
    </row>
    <row r="20" spans="2:8" x14ac:dyDescent="0.2">
      <c r="B20" s="26" t="s">
        <v>42</v>
      </c>
      <c r="C20" s="22"/>
      <c r="D20" s="22"/>
      <c r="E20" s="22"/>
      <c r="F20" s="22"/>
      <c r="G20" s="22"/>
      <c r="H20" s="22"/>
    </row>
    <row r="22" spans="2:8" ht="17" x14ac:dyDescent="0.2">
      <c r="B22" s="21" t="s">
        <v>43</v>
      </c>
      <c r="C22" s="22"/>
      <c r="D22" s="22"/>
      <c r="E22" s="22"/>
      <c r="F22" s="22"/>
      <c r="G22" s="22"/>
      <c r="H22" s="22"/>
    </row>
    <row r="23" spans="2:8" x14ac:dyDescent="0.2">
      <c r="B23" s="5" t="s">
        <v>44</v>
      </c>
      <c r="C23" s="5" t="s">
        <v>45</v>
      </c>
      <c r="D23" s="5" t="s">
        <v>46</v>
      </c>
      <c r="E23" s="5" t="s">
        <v>47</v>
      </c>
    </row>
    <row r="24" spans="2:8" x14ac:dyDescent="0.2">
      <c r="B24" s="6" cm="1">
        <f t="array" ref="B24">_xldudf_ALM_RFR("UK",10,DATE(2024,12,31))</f>
        <v>4.0720000000000001</v>
      </c>
      <c r="C24" s="6" cm="1">
        <f t="array" ref="C24">_xldudf_ALM_RFR("EU",10,DATE(2024,12,31))</f>
        <v>2.2669999999999999</v>
      </c>
      <c r="D24" s="6" cm="1">
        <f t="array" ref="D24">_xldudf_ALM_RFR("US",10,DATE(2024,12,31))</f>
        <v>4.0670000000000002</v>
      </c>
      <c r="E24" s="6" cm="1">
        <f t="array" ref="E24">_xldudf_ALM_RFR("CA",10,DATE(2024,12,31))</f>
        <v>2.996</v>
      </c>
    </row>
    <row r="26" spans="2:8" ht="17" x14ac:dyDescent="0.2">
      <c r="B26" s="21" t="s">
        <v>48</v>
      </c>
      <c r="C26" s="22"/>
      <c r="D26" s="22"/>
      <c r="E26" s="22"/>
      <c r="F26" s="22"/>
      <c r="G26" s="22"/>
      <c r="H26" s="22"/>
    </row>
    <row r="27" spans="2:8" x14ac:dyDescent="0.2">
      <c r="B27" s="26" t="s">
        <v>49</v>
      </c>
      <c r="C27" s="22"/>
      <c r="D27" s="22"/>
      <c r="E27" s="22"/>
      <c r="F27" s="22"/>
      <c r="G27" s="22"/>
      <c r="H27" s="22"/>
    </row>
    <row r="28" spans="2:8" x14ac:dyDescent="0.2">
      <c r="B28" s="5" t="s">
        <v>50</v>
      </c>
      <c r="C28" s="5" t="s">
        <v>51</v>
      </c>
    </row>
    <row r="29" spans="2:8" x14ac:dyDescent="0.2">
      <c r="B29" s="4">
        <v>45659</v>
      </c>
      <c r="C29" s="6" cm="1">
        <f t="array" ref="C29:C50">_xldudf_ALM_GILT(10,B29:B50)</f>
        <v>4.5777162000000002</v>
      </c>
    </row>
    <row r="30" spans="2:8" x14ac:dyDescent="0.2">
      <c r="B30" s="4">
        <v>45660</v>
      </c>
      <c r="C30" s="10">
        <v>4.5875594499999997</v>
      </c>
    </row>
    <row r="31" spans="2:8" x14ac:dyDescent="0.2">
      <c r="B31" s="4">
        <v>45663</v>
      </c>
      <c r="C31" s="10">
        <v>4.61557613</v>
      </c>
    </row>
    <row r="32" spans="2:8" x14ac:dyDescent="0.2">
      <c r="B32" s="4">
        <v>45664</v>
      </c>
      <c r="C32" s="10">
        <v>4.6744710600000001</v>
      </c>
    </row>
    <row r="33" spans="2:3" x14ac:dyDescent="0.2">
      <c r="B33" s="4">
        <v>45665</v>
      </c>
      <c r="C33" s="10">
        <v>4.79513196</v>
      </c>
    </row>
    <row r="34" spans="2:3" x14ac:dyDescent="0.2">
      <c r="B34" s="4">
        <v>45666</v>
      </c>
      <c r="C34" s="10">
        <v>4.7984672000000002</v>
      </c>
    </row>
    <row r="35" spans="2:3" x14ac:dyDescent="0.2">
      <c r="B35" s="4">
        <v>45667</v>
      </c>
      <c r="C35" s="10">
        <v>4.8468542699999997</v>
      </c>
    </row>
    <row r="36" spans="2:3" x14ac:dyDescent="0.2">
      <c r="B36" s="4">
        <v>45670</v>
      </c>
      <c r="C36" s="10">
        <v>4.8724669900000004</v>
      </c>
    </row>
    <row r="37" spans="2:3" x14ac:dyDescent="0.2">
      <c r="B37" s="4">
        <v>45671</v>
      </c>
      <c r="C37" s="10">
        <v>4.88562882</v>
      </c>
    </row>
    <row r="38" spans="2:3" x14ac:dyDescent="0.2">
      <c r="B38" s="4">
        <v>45672</v>
      </c>
      <c r="C38" s="10">
        <v>4.7078683400000001</v>
      </c>
    </row>
    <row r="39" spans="2:3" x14ac:dyDescent="0.2">
      <c r="B39" s="4">
        <v>45673</v>
      </c>
      <c r="C39" s="10">
        <v>4.6725349500000002</v>
      </c>
    </row>
    <row r="40" spans="2:3" x14ac:dyDescent="0.2">
      <c r="B40" s="4">
        <v>45674</v>
      </c>
      <c r="C40" s="10">
        <v>4.6482798799999996</v>
      </c>
    </row>
    <row r="41" spans="2:3" x14ac:dyDescent="0.2">
      <c r="B41" s="4">
        <v>45677</v>
      </c>
      <c r="C41" s="10">
        <v>4.66030079</v>
      </c>
    </row>
    <row r="42" spans="2:3" x14ac:dyDescent="0.2">
      <c r="B42" s="4">
        <v>45678</v>
      </c>
      <c r="C42" s="10">
        <v>4.5933276200000002</v>
      </c>
    </row>
    <row r="43" spans="2:3" x14ac:dyDescent="0.2">
      <c r="B43" s="4">
        <v>45679</v>
      </c>
      <c r="C43" s="10">
        <v>4.5994981700000004</v>
      </c>
    </row>
    <row r="44" spans="2:3" x14ac:dyDescent="0.2">
      <c r="B44" s="4">
        <v>45680</v>
      </c>
      <c r="C44" s="10">
        <v>4.6273237099999998</v>
      </c>
    </row>
    <row r="45" spans="2:3" x14ac:dyDescent="0.2">
      <c r="B45" s="4">
        <v>45681</v>
      </c>
      <c r="C45" s="10">
        <v>4.6272598299999999</v>
      </c>
    </row>
    <row r="46" spans="2:3" x14ac:dyDescent="0.2">
      <c r="B46" s="4">
        <v>45684</v>
      </c>
      <c r="C46" s="10">
        <v>4.5778889300000003</v>
      </c>
    </row>
    <row r="47" spans="2:3" x14ac:dyDescent="0.2">
      <c r="B47" s="4">
        <v>45685</v>
      </c>
      <c r="C47" s="10">
        <v>4.6109654400000002</v>
      </c>
    </row>
    <row r="48" spans="2:3" x14ac:dyDescent="0.2">
      <c r="B48" s="4">
        <v>45686</v>
      </c>
      <c r="C48" s="10">
        <v>4.5984149299999997</v>
      </c>
    </row>
    <row r="49" spans="2:3" x14ac:dyDescent="0.2">
      <c r="B49" s="4">
        <v>45687</v>
      </c>
      <c r="C49" s="10">
        <v>4.5600472200000004</v>
      </c>
    </row>
    <row r="50" spans="2:3" x14ac:dyDescent="0.2">
      <c r="B50" s="4">
        <v>45688</v>
      </c>
      <c r="C50" s="10">
        <v>4.5378672199999999</v>
      </c>
    </row>
  </sheetData>
  <mergeCells count="10">
    <mergeCell ref="B22:H22"/>
    <mergeCell ref="A1:J1"/>
    <mergeCell ref="B17:H17"/>
    <mergeCell ref="B26:H26"/>
    <mergeCell ref="B27:H27"/>
    <mergeCell ref="J5:K5"/>
    <mergeCell ref="B4:H4"/>
    <mergeCell ref="B15:H15"/>
    <mergeCell ref="A2:J2"/>
    <mergeCell ref="B20:H2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27"/>
  <sheetViews>
    <sheetView showGridLines="0" workbookViewId="0"/>
  </sheetViews>
  <sheetFormatPr baseColWidth="10" defaultColWidth="8.83203125" defaultRowHeight="15" x14ac:dyDescent="0.2"/>
  <cols>
    <col min="1" max="1" width="3" customWidth="1"/>
    <col min="2" max="2" width="24" customWidth="1"/>
    <col min="3" max="3" width="22" customWidth="1"/>
    <col min="4" max="5" width="18" customWidth="1"/>
    <col min="6" max="6" width="4" customWidth="1"/>
    <col min="7" max="7" width="20" customWidth="1"/>
    <col min="8" max="8" width="16" customWidth="1"/>
    <col min="9" max="9" width="4" customWidth="1"/>
    <col min="10" max="12" width="14" customWidth="1"/>
  </cols>
  <sheetData>
    <row r="1" spans="1:12" ht="34" customHeight="1" x14ac:dyDescent="0.2">
      <c r="A1" s="25" t="s">
        <v>12</v>
      </c>
      <c r="B1" s="24"/>
      <c r="C1" s="24"/>
      <c r="D1" s="24"/>
      <c r="E1" s="24"/>
      <c r="F1" s="24"/>
      <c r="G1" s="24"/>
      <c r="H1" s="24"/>
      <c r="I1" s="24"/>
      <c r="J1" s="24"/>
    </row>
    <row r="2" spans="1:12" ht="18" customHeight="1" x14ac:dyDescent="0.2">
      <c r="A2" s="23" t="s">
        <v>52</v>
      </c>
      <c r="B2" s="24"/>
      <c r="C2" s="24"/>
      <c r="D2" s="24"/>
      <c r="E2" s="24"/>
      <c r="F2" s="24"/>
      <c r="G2" s="24"/>
      <c r="H2" s="24"/>
      <c r="I2" s="24"/>
      <c r="J2" s="24"/>
    </row>
    <row r="4" spans="1:12" ht="17" x14ac:dyDescent="0.2">
      <c r="B4" s="21" t="s">
        <v>53</v>
      </c>
      <c r="C4" s="22"/>
      <c r="D4" s="22"/>
      <c r="E4" s="22"/>
      <c r="F4" s="22"/>
      <c r="G4" s="22"/>
      <c r="H4" s="22"/>
      <c r="J4" s="2" t="s">
        <v>54</v>
      </c>
    </row>
    <row r="5" spans="1:12" x14ac:dyDescent="0.2">
      <c r="B5" s="2" t="s">
        <v>55</v>
      </c>
      <c r="C5" s="27" t="str" cm="1">
        <f t="array" ref="C5">_xldudf_ALM_SW_FIT("GILT_NOMINAL",DATE(2024,12,31))</f>
        <v>sw_1q4ecw3</v>
      </c>
      <c r="D5" s="22"/>
      <c r="E5" s="22"/>
      <c r="J5" s="26" t="s">
        <v>56</v>
      </c>
      <c r="K5" s="22"/>
      <c r="L5" s="22"/>
    </row>
    <row r="6" spans="1:12" x14ac:dyDescent="0.2">
      <c r="B6" s="26" t="s">
        <v>57</v>
      </c>
      <c r="C6" s="22"/>
      <c r="D6" s="22"/>
      <c r="E6" s="22"/>
      <c r="F6" s="22"/>
      <c r="G6" s="22"/>
      <c r="H6" s="22"/>
      <c r="J6" s="7" t="str" cm="1">
        <f t="array" ref="J6:L727">_xldudf_ALM_SW_CURVE($C$5,TRUE)</f>
        <v>tenor_months</v>
      </c>
      <c r="K6" t="str">
        <v>spot</v>
      </c>
      <c r="L6" t="str">
        <v>zcb</v>
      </c>
    </row>
    <row r="7" spans="1:12" x14ac:dyDescent="0.2">
      <c r="J7">
        <v>0</v>
      </c>
      <c r="K7">
        <v>0</v>
      </c>
      <c r="L7">
        <v>1</v>
      </c>
    </row>
    <row r="8" spans="1:12" ht="17" x14ac:dyDescent="0.2">
      <c r="B8" s="21" t="s">
        <v>58</v>
      </c>
      <c r="C8" s="22"/>
      <c r="D8" s="22"/>
      <c r="E8" s="22"/>
      <c r="F8" s="22"/>
      <c r="G8" s="22"/>
      <c r="H8" s="22"/>
      <c r="J8">
        <v>1</v>
      </c>
      <c r="K8">
        <v>4.5277160109863459</v>
      </c>
      <c r="L8">
        <v>0.99623401250941557</v>
      </c>
    </row>
    <row r="9" spans="1:12" x14ac:dyDescent="0.2">
      <c r="B9" s="5" t="s">
        <v>59</v>
      </c>
      <c r="C9" s="5" t="s">
        <v>50</v>
      </c>
      <c r="D9" s="5" t="s">
        <v>60</v>
      </c>
      <c r="E9" s="5" t="s">
        <v>61</v>
      </c>
      <c r="J9">
        <v>2</v>
      </c>
      <c r="K9">
        <v>4.522041077299483</v>
      </c>
      <c r="L9">
        <v>0.99249159484285987</v>
      </c>
    </row>
    <row r="10" spans="1:12" x14ac:dyDescent="0.2">
      <c r="B10" s="2" t="s">
        <v>62</v>
      </c>
      <c r="C10" s="4">
        <f>EDATE(DATE(2024,12,31),60)</f>
        <v>47483</v>
      </c>
      <c r="D10" s="6" cm="1">
        <f t="array" ref="D10:D14">_xldudf_ALM_SW_RATE($C$5,C10:C14)</f>
        <v>4.2210743154429107</v>
      </c>
      <c r="E10" s="11" cm="1">
        <f t="array" ref="E10:E14">_xldudf_ALM_SW_ZCB($C$5,C10:C14)</f>
        <v>0.80975396522399201</v>
      </c>
      <c r="J10">
        <v>3</v>
      </c>
      <c r="K10">
        <v>4.5122335694052671</v>
      </c>
      <c r="L10">
        <v>0.98878280329115931</v>
      </c>
    </row>
    <row r="11" spans="1:12" x14ac:dyDescent="0.2">
      <c r="B11" s="2" t="s">
        <v>63</v>
      </c>
      <c r="C11" s="4">
        <f>EDATE(DATE(2024,12,31),120)</f>
        <v>49309</v>
      </c>
      <c r="D11" s="10">
        <v>4.5699535468898667</v>
      </c>
      <c r="E11" s="12">
        <v>0.63322289410235122</v>
      </c>
      <c r="J11">
        <v>4</v>
      </c>
      <c r="K11">
        <v>4.4982823549881514</v>
      </c>
      <c r="L11">
        <v>0.98511757986123982</v>
      </c>
    </row>
    <row r="12" spans="1:12" x14ac:dyDescent="0.2">
      <c r="B12" s="2" t="s">
        <v>64</v>
      </c>
      <c r="C12" s="4">
        <f>EDATE(DATE(2024,12,31),240)</f>
        <v>52962</v>
      </c>
      <c r="D12" s="10">
        <v>5.127906500006759</v>
      </c>
      <c r="E12" s="12">
        <v>0.35858795762878304</v>
      </c>
      <c r="J12">
        <v>5</v>
      </c>
      <c r="K12">
        <v>4.4801767306318654</v>
      </c>
      <c r="L12">
        <v>0.98150575378709237</v>
      </c>
    </row>
    <row r="13" spans="1:12" x14ac:dyDescent="0.2">
      <c r="B13" s="2" t="s">
        <v>65</v>
      </c>
      <c r="C13" s="4">
        <f>EDATE(DATE(2024,12,31),360)</f>
        <v>56614</v>
      </c>
      <c r="D13" s="10">
        <v>5.1486022553212765</v>
      </c>
      <c r="E13" s="12">
        <v>0.21341637780695905</v>
      </c>
      <c r="J13">
        <v>6</v>
      </c>
      <c r="K13">
        <v>4.457906640012359</v>
      </c>
      <c r="L13">
        <v>0.97795704302425168</v>
      </c>
    </row>
    <row r="14" spans="1:12" x14ac:dyDescent="0.2">
      <c r="B14" s="2" t="s">
        <v>66</v>
      </c>
      <c r="C14" s="4">
        <f>EDATE(DATE(2024,12,31),600)</f>
        <v>63919</v>
      </c>
      <c r="D14" s="10">
        <v>4.6310896226666847</v>
      </c>
      <c r="E14" s="12">
        <v>9.8718647905938858E-2</v>
      </c>
      <c r="J14">
        <v>7</v>
      </c>
      <c r="K14">
        <v>4.4320269621615127</v>
      </c>
      <c r="L14">
        <v>0.97447784930340398</v>
      </c>
    </row>
    <row r="15" spans="1:12" x14ac:dyDescent="0.2">
      <c r="J15">
        <v>8</v>
      </c>
      <c r="K15">
        <v>4.4047884446757672</v>
      </c>
      <c r="L15">
        <v>0.9710617132766316</v>
      </c>
    </row>
    <row r="16" spans="1:12" ht="17" x14ac:dyDescent="0.2">
      <c r="B16" s="21" t="s">
        <v>67</v>
      </c>
      <c r="C16" s="22"/>
      <c r="D16" s="22"/>
      <c r="E16" s="22"/>
      <c r="F16" s="22"/>
      <c r="G16" s="22"/>
      <c r="H16" s="22"/>
      <c r="J16">
        <v>9</v>
      </c>
      <c r="K16">
        <v>4.3778835735252093</v>
      </c>
      <c r="L16">
        <v>0.96769906161576635</v>
      </c>
    </row>
    <row r="17" spans="2:12" x14ac:dyDescent="0.2">
      <c r="B17" s="2" t="s">
        <v>68</v>
      </c>
      <c r="C17" s="27" t="str" cm="1">
        <f t="array" ref="C17">_xldudf_ALM_SW_FIT("GILT_NOMINAL",DATE(2024,12,31),0.05)</f>
        <v>sw_0ll85y0</v>
      </c>
      <c r="D17" s="22"/>
      <c r="E17" s="22"/>
      <c r="J17">
        <v>10</v>
      </c>
      <c r="K17">
        <v>4.3523309872027909</v>
      </c>
      <c r="L17">
        <v>0.9643804303832898</v>
      </c>
    </row>
    <row r="18" spans="2:12" x14ac:dyDescent="0.2">
      <c r="B18" s="2" t="s">
        <v>69</v>
      </c>
      <c r="C18" s="6" cm="1">
        <f t="array" ref="C18">_xldudf_ALM_SW_RATE($C$17,EDATE(DATE(2024,12,31),600))</f>
        <v>4.6398093029908143</v>
      </c>
      <c r="J18">
        <v>11</v>
      </c>
      <c r="K18">
        <v>4.3287814563904456</v>
      </c>
      <c r="L18">
        <v>0.96109646360956891</v>
      </c>
    </row>
    <row r="19" spans="2:12" x14ac:dyDescent="0.2">
      <c r="B19" s="26" t="s">
        <v>70</v>
      </c>
      <c r="C19" s="22"/>
      <c r="D19" s="22"/>
      <c r="E19" s="22"/>
      <c r="F19" s="22"/>
      <c r="G19" s="22"/>
      <c r="H19" s="22"/>
      <c r="J19">
        <v>12</v>
      </c>
      <c r="K19">
        <v>4.3076709600115066</v>
      </c>
      <c r="L19">
        <v>0.95783791188562994</v>
      </c>
    </row>
    <row r="20" spans="2:12" x14ac:dyDescent="0.2">
      <c r="J20">
        <v>13</v>
      </c>
      <c r="K20">
        <v>4.289197105059066</v>
      </c>
      <c r="L20">
        <v>0.95459672805575047</v>
      </c>
    </row>
    <row r="21" spans="2:12" ht="17" x14ac:dyDescent="0.2">
      <c r="B21" s="21" t="s">
        <v>71</v>
      </c>
      <c r="C21" s="22"/>
      <c r="D21" s="22"/>
      <c r="E21" s="22"/>
      <c r="F21" s="22"/>
      <c r="G21" s="22"/>
      <c r="H21" s="22"/>
      <c r="J21">
        <v>14</v>
      </c>
      <c r="K21">
        <v>4.2731082828913403</v>
      </c>
      <c r="L21">
        <v>0.95136933213136121</v>
      </c>
    </row>
    <row r="22" spans="2:12" x14ac:dyDescent="0.2">
      <c r="B22" s="7" t="str" cm="1">
        <f t="array" ref="B22:C29">_xldudf_ALM_SW_META($C$5)</f>
        <v>alpha_used</v>
      </c>
      <c r="C22">
        <v>0.1</v>
      </c>
      <c r="J22">
        <v>15</v>
      </c>
      <c r="K22">
        <v>4.2591285477979728</v>
      </c>
      <c r="L22">
        <v>0.94815327543557604</v>
      </c>
    </row>
    <row r="23" spans="2:12" x14ac:dyDescent="0.2">
      <c r="B23" t="str">
        <v>alpha_source</v>
      </c>
      <c r="C23" t="str">
        <v>curve type default</v>
      </c>
      <c r="J23">
        <v>16</v>
      </c>
      <c r="K23">
        <v>4.2470513355881208</v>
      </c>
      <c r="L23">
        <v>0.94494613686322693</v>
      </c>
    </row>
    <row r="24" spans="2:12" x14ac:dyDescent="0.2">
      <c r="B24" t="str">
        <v>ufr_used</v>
      </c>
      <c r="C24">
        <v>3.4304146499999999</v>
      </c>
      <c r="J24">
        <v>17</v>
      </c>
      <c r="K24">
        <v>4.2367190715439564</v>
      </c>
      <c r="L24">
        <v>0.94174552251970645</v>
      </c>
    </row>
    <row r="25" spans="2:12" x14ac:dyDescent="0.2">
      <c r="B25" t="str">
        <v>ufr_source</v>
      </c>
      <c r="C25" t="str">
        <v>Forward rate at T_40.0</v>
      </c>
      <c r="J25">
        <v>18</v>
      </c>
      <c r="K25">
        <v>4.2280095800110571</v>
      </c>
      <c r="L25">
        <v>0.93854906536373928</v>
      </c>
    </row>
    <row r="26" spans="2:12" x14ac:dyDescent="0.2">
      <c r="B26" t="str">
        <v>llp</v>
      </c>
      <c r="C26">
        <v>40</v>
      </c>
      <c r="J26">
        <v>19</v>
      </c>
      <c r="K26">
        <v>4.2207844661380047</v>
      </c>
      <c r="L26">
        <v>0.9353550516581931</v>
      </c>
    </row>
    <row r="27" spans="2:12" x14ac:dyDescent="0.2">
      <c r="B27" t="str">
        <v>day_count</v>
      </c>
      <c r="C27" t="str">
        <v>ACT/365.25</v>
      </c>
      <c r="J27">
        <v>20</v>
      </c>
      <c r="K27">
        <v>4.2147723882898287</v>
      </c>
      <c r="L27">
        <v>0.93216428677093455</v>
      </c>
    </row>
    <row r="28" spans="2:12" x14ac:dyDescent="0.2">
      <c r="B28" t="str">
        <v>curve_type</v>
      </c>
      <c r="C28" t="str">
        <v>GILT_NOMINAL</v>
      </c>
      <c r="J28">
        <v>21</v>
      </c>
      <c r="K28">
        <v>4.209715292055126</v>
      </c>
      <c r="L28">
        <v>0.92897818971178903</v>
      </c>
    </row>
    <row r="29" spans="2:12" x14ac:dyDescent="0.2">
      <c r="B29" t="str">
        <v>curve_date</v>
      </c>
      <c r="C29" t="str">
        <v>2024-12-31</v>
      </c>
      <c r="J29">
        <v>22</v>
      </c>
      <c r="K29">
        <v>4.2054018909350708</v>
      </c>
      <c r="L29">
        <v>0.92579816295338402</v>
      </c>
    </row>
    <row r="30" spans="2:12" x14ac:dyDescent="0.2">
      <c r="J30">
        <v>23</v>
      </c>
      <c r="K30">
        <v>4.2016574891826242</v>
      </c>
      <c r="L30">
        <v>0.92262559264767052</v>
      </c>
    </row>
    <row r="31" spans="2:12" x14ac:dyDescent="0.2">
      <c r="J31">
        <v>24</v>
      </c>
      <c r="K31">
        <v>4.198336350010309</v>
      </c>
      <c r="L31">
        <v>0.91946184884007254</v>
      </c>
    </row>
    <row r="32" spans="2:12" x14ac:dyDescent="0.2">
      <c r="J32">
        <v>25</v>
      </c>
      <c r="K32">
        <v>4.1953309620735775</v>
      </c>
      <c r="L32">
        <v>0.91630799808264041</v>
      </c>
    </row>
    <row r="33" spans="10:12" x14ac:dyDescent="0.2">
      <c r="J33">
        <v>26</v>
      </c>
      <c r="K33">
        <v>4.1926082089935015</v>
      </c>
      <c r="L33">
        <v>0.91316394739149809</v>
      </c>
    </row>
    <row r="34" spans="10:12" x14ac:dyDescent="0.2">
      <c r="J34">
        <v>27</v>
      </c>
      <c r="K34">
        <v>4.1901538561981324</v>
      </c>
      <c r="L34">
        <v>0.9100293185854591</v>
      </c>
    </row>
    <row r="35" spans="10:12" x14ac:dyDescent="0.2">
      <c r="J35">
        <v>28</v>
      </c>
      <c r="K35">
        <v>4.1879557446714362</v>
      </c>
      <c r="L35">
        <v>0.90690373748131003</v>
      </c>
    </row>
    <row r="36" spans="10:12" x14ac:dyDescent="0.2">
      <c r="J36">
        <v>29</v>
      </c>
      <c r="K36">
        <v>4.1860034345405488</v>
      </c>
      <c r="L36">
        <v>0.90378683384198555</v>
      </c>
    </row>
    <row r="37" spans="10:12" x14ac:dyDescent="0.2">
      <c r="J37">
        <v>30</v>
      </c>
      <c r="K37">
        <v>4.1842879200108474</v>
      </c>
      <c r="L37">
        <v>0.90067824132530838</v>
      </c>
    </row>
    <row r="38" spans="10:12" x14ac:dyDescent="0.2">
      <c r="J38">
        <v>31</v>
      </c>
      <c r="K38">
        <v>4.1828012545679876</v>
      </c>
      <c r="L38">
        <v>0.89757760079478499</v>
      </c>
    </row>
    <row r="39" spans="10:12" x14ac:dyDescent="0.2">
      <c r="J39">
        <v>32</v>
      </c>
      <c r="K39">
        <v>4.1815359649576465</v>
      </c>
      <c r="L39">
        <v>0.89448457027746642</v>
      </c>
    </row>
    <row r="40" spans="10:12" x14ac:dyDescent="0.2">
      <c r="J40">
        <v>33</v>
      </c>
      <c r="K40">
        <v>4.1804853883503128</v>
      </c>
      <c r="L40">
        <v>0.89139881469733684</v>
      </c>
    </row>
    <row r="41" spans="10:12" x14ac:dyDescent="0.2">
      <c r="J41">
        <v>34</v>
      </c>
      <c r="K41">
        <v>4.1796436866182773</v>
      </c>
      <c r="L41">
        <v>0.88832000244846654</v>
      </c>
    </row>
    <row r="42" spans="10:12" x14ac:dyDescent="0.2">
      <c r="J42">
        <v>35</v>
      </c>
      <c r="K42">
        <v>4.1790057299664216</v>
      </c>
      <c r="L42">
        <v>0.88524780534943837</v>
      </c>
    </row>
    <row r="43" spans="10:12" x14ac:dyDescent="0.2">
      <c r="J43">
        <v>36</v>
      </c>
      <c r="K43">
        <v>4.1785670000103021</v>
      </c>
      <c r="L43">
        <v>0.88218189859826335</v>
      </c>
    </row>
    <row r="44" spans="10:12" x14ac:dyDescent="0.2">
      <c r="J44">
        <v>37</v>
      </c>
      <c r="K44">
        <v>4.1783236230577243</v>
      </c>
      <c r="L44">
        <v>0.8791219576258823</v>
      </c>
    </row>
    <row r="45" spans="10:12" x14ac:dyDescent="0.2">
      <c r="J45">
        <v>38</v>
      </c>
      <c r="K45">
        <v>4.1782726215969417</v>
      </c>
      <c r="L45">
        <v>0.87606764881691856</v>
      </c>
    </row>
    <row r="46" spans="10:12" x14ac:dyDescent="0.2">
      <c r="J46">
        <v>39</v>
      </c>
      <c r="K46">
        <v>4.1784114761970121</v>
      </c>
      <c r="L46">
        <v>0.87301863889400422</v>
      </c>
    </row>
    <row r="47" spans="10:12" x14ac:dyDescent="0.2">
      <c r="J47">
        <v>40</v>
      </c>
      <c r="K47">
        <v>4.178737964119855</v>
      </c>
      <c r="L47">
        <v>0.86997459799152332</v>
      </c>
    </row>
    <row r="48" spans="10:12" x14ac:dyDescent="0.2">
      <c r="J48">
        <v>41</v>
      </c>
      <c r="K48">
        <v>4.1792501247487035</v>
      </c>
      <c r="L48">
        <v>0.86693519961015608</v>
      </c>
    </row>
    <row r="49" spans="10:12" x14ac:dyDescent="0.2">
      <c r="J49">
        <v>42</v>
      </c>
      <c r="K49">
        <v>4.1799462300093335</v>
      </c>
      <c r="L49">
        <v>0.86390012057191545</v>
      </c>
    </row>
    <row r="50" spans="10:12" x14ac:dyDescent="0.2">
      <c r="J50">
        <v>43</v>
      </c>
      <c r="K50">
        <v>4.1808244819991449</v>
      </c>
      <c r="L50">
        <v>0.86086904951967957</v>
      </c>
    </row>
    <row r="51" spans="10:12" x14ac:dyDescent="0.2">
      <c r="J51">
        <v>44</v>
      </c>
      <c r="K51">
        <v>4.1818822090842076</v>
      </c>
      <c r="L51">
        <v>0.85784171231082029</v>
      </c>
    </row>
    <row r="52" spans="10:12" x14ac:dyDescent="0.2">
      <c r="J52">
        <v>45</v>
      </c>
      <c r="K52">
        <v>4.1831167560306666</v>
      </c>
      <c r="L52">
        <v>0.85481784600487465</v>
      </c>
    </row>
    <row r="53" spans="10:12" x14ac:dyDescent="0.2">
      <c r="J53">
        <v>46</v>
      </c>
      <c r="K53">
        <v>4.1845257422319913</v>
      </c>
      <c r="L53">
        <v>0.85179719023511891</v>
      </c>
    </row>
    <row r="54" spans="10:12" x14ac:dyDescent="0.2">
      <c r="J54">
        <v>47</v>
      </c>
      <c r="K54">
        <v>4.1861070339403073</v>
      </c>
      <c r="L54">
        <v>0.84877948717352536</v>
      </c>
    </row>
    <row r="55" spans="10:12" x14ac:dyDescent="0.2">
      <c r="J55">
        <v>48</v>
      </c>
      <c r="K55">
        <v>4.1878587200086619</v>
      </c>
      <c r="L55">
        <v>0.84576448149609218</v>
      </c>
    </row>
    <row r="56" spans="10:12" x14ac:dyDescent="0.2">
      <c r="J56">
        <v>49</v>
      </c>
      <c r="K56">
        <v>4.1897786976573048</v>
      </c>
      <c r="L56">
        <v>0.84275193387212799</v>
      </c>
    </row>
    <row r="57" spans="10:12" x14ac:dyDescent="0.2">
      <c r="J57">
        <v>50</v>
      </c>
      <c r="K57">
        <v>4.1918635354841705</v>
      </c>
      <c r="L57">
        <v>0.83974166119337312</v>
      </c>
    </row>
    <row r="58" spans="10:12" x14ac:dyDescent="0.2">
      <c r="J58">
        <v>51</v>
      </c>
      <c r="K58">
        <v>4.1941097338915601</v>
      </c>
      <c r="L58">
        <v>0.83673349543663433</v>
      </c>
    </row>
    <row r="59" spans="10:12" x14ac:dyDescent="0.2">
      <c r="J59">
        <v>52</v>
      </c>
      <c r="K59">
        <v>4.1965141025289343</v>
      </c>
      <c r="L59">
        <v>0.83372727004153946</v>
      </c>
    </row>
    <row r="60" spans="10:12" x14ac:dyDescent="0.2">
      <c r="J60">
        <v>53</v>
      </c>
      <c r="K60">
        <v>4.1990737322157283</v>
      </c>
      <c r="L60">
        <v>0.83072281988963548</v>
      </c>
    </row>
    <row r="61" spans="10:12" x14ac:dyDescent="0.2">
      <c r="J61">
        <v>54</v>
      </c>
      <c r="K61">
        <v>4.2017859700082649</v>
      </c>
      <c r="L61">
        <v>0.82771998128370905</v>
      </c>
    </row>
    <row r="62" spans="10:12" x14ac:dyDescent="0.2">
      <c r="J62">
        <v>55</v>
      </c>
      <c r="K62">
        <v>4.2046482028864736</v>
      </c>
      <c r="L62">
        <v>0.82471859926516389</v>
      </c>
    </row>
    <row r="63" spans="10:12" x14ac:dyDescent="0.2">
      <c r="J63">
        <v>56</v>
      </c>
      <c r="K63">
        <v>4.207657282110385</v>
      </c>
      <c r="L63">
        <v>0.82171854944033618</v>
      </c>
    </row>
    <row r="64" spans="10:12" x14ac:dyDescent="0.2">
      <c r="J64">
        <v>57</v>
      </c>
      <c r="K64">
        <v>4.2108101310829555</v>
      </c>
      <c r="L64">
        <v>0.81871971565770507</v>
      </c>
    </row>
    <row r="65" spans="10:12" x14ac:dyDescent="0.2">
      <c r="J65">
        <v>58</v>
      </c>
      <c r="K65">
        <v>4.2141039238357605</v>
      </c>
      <c r="L65">
        <v>0.81572198261470574</v>
      </c>
    </row>
    <row r="66" spans="10:12" x14ac:dyDescent="0.2">
      <c r="J66">
        <v>59</v>
      </c>
      <c r="K66">
        <v>4.217536064696346</v>
      </c>
      <c r="L66">
        <v>0.81272523584459555</v>
      </c>
    </row>
    <row r="67" spans="10:12" x14ac:dyDescent="0.2">
      <c r="J67">
        <v>60</v>
      </c>
      <c r="K67">
        <v>4.2211041700079095</v>
      </c>
      <c r="L67">
        <v>0.80972936170344889</v>
      </c>
    </row>
    <row r="68" spans="10:12" x14ac:dyDescent="0.2">
      <c r="J68">
        <v>61</v>
      </c>
      <c r="K68">
        <v>4.2248056278493946</v>
      </c>
      <c r="L68">
        <v>0.80673426473758236</v>
      </c>
    </row>
    <row r="69" spans="10:12" x14ac:dyDescent="0.2">
      <c r="J69">
        <v>62</v>
      </c>
      <c r="K69">
        <v>4.2286363635156681</v>
      </c>
      <c r="L69">
        <v>0.80373991941624678</v>
      </c>
    </row>
    <row r="70" spans="10:12" x14ac:dyDescent="0.2">
      <c r="J70">
        <v>63</v>
      </c>
      <c r="K70">
        <v>4.2325921823897747</v>
      </c>
      <c r="L70">
        <v>0.80074631729308166</v>
      </c>
    </row>
    <row r="71" spans="10:12" x14ac:dyDescent="0.2">
      <c r="J71">
        <v>64</v>
      </c>
      <c r="K71">
        <v>4.2366691830028138</v>
      </c>
      <c r="L71">
        <v>0.79775344952922211</v>
      </c>
    </row>
    <row r="72" spans="10:12" x14ac:dyDescent="0.2">
      <c r="J72">
        <v>65</v>
      </c>
      <c r="K72">
        <v>4.2408637349066645</v>
      </c>
      <c r="L72">
        <v>0.79476130689631541</v>
      </c>
    </row>
    <row r="73" spans="10:12" x14ac:dyDescent="0.2">
      <c r="J73">
        <v>66</v>
      </c>
      <c r="K73">
        <v>4.2451724585674668</v>
      </c>
      <c r="L73">
        <v>0.79176987977949187</v>
      </c>
    </row>
    <row r="74" spans="10:12" x14ac:dyDescent="0.2">
      <c r="J74">
        <v>67</v>
      </c>
      <c r="K74">
        <v>4.2495922070688685</v>
      </c>
      <c r="L74">
        <v>0.78877915818029187</v>
      </c>
    </row>
    <row r="75" spans="10:12" x14ac:dyDescent="0.2">
      <c r="J75">
        <v>68</v>
      </c>
      <c r="K75">
        <v>4.2541200494389635</v>
      </c>
      <c r="L75">
        <v>0.78578913171955</v>
      </c>
    </row>
    <row r="76" spans="10:12" x14ac:dyDescent="0.2">
      <c r="J76">
        <v>69</v>
      </c>
      <c r="K76">
        <v>4.2587532554364742</v>
      </c>
      <c r="L76">
        <v>0.78279978964023411</v>
      </c>
    </row>
    <row r="77" spans="10:12" x14ac:dyDescent="0.2">
      <c r="J77">
        <v>70</v>
      </c>
      <c r="K77">
        <v>4.2634892816503509</v>
      </c>
      <c r="L77">
        <v>0.77981112081024428</v>
      </c>
    </row>
    <row r="78" spans="10:12" x14ac:dyDescent="0.2">
      <c r="J78">
        <v>71</v>
      </c>
      <c r="K78">
        <v>4.2683257587836732</v>
      </c>
      <c r="L78">
        <v>0.77682311372516577</v>
      </c>
    </row>
    <row r="79" spans="10:12" x14ac:dyDescent="0.2">
      <c r="J79">
        <v>72</v>
      </c>
      <c r="K79">
        <v>4.2732604800067584</v>
      </c>
      <c r="L79">
        <v>0.77383575651098435</v>
      </c>
    </row>
    <row r="80" spans="10:12" x14ac:dyDescent="0.2">
      <c r="J80">
        <v>73</v>
      </c>
      <c r="K80">
        <v>4.2782909922009829</v>
      </c>
      <c r="L80">
        <v>0.77084905559387751</v>
      </c>
    </row>
    <row r="81" spans="10:12" x14ac:dyDescent="0.2">
      <c r="J81">
        <v>74</v>
      </c>
      <c r="K81">
        <v>4.2834134317141066</v>
      </c>
      <c r="L81">
        <v>0.76786309127946295</v>
      </c>
    </row>
    <row r="82" spans="10:12" x14ac:dyDescent="0.2">
      <c r="J82">
        <v>75</v>
      </c>
      <c r="K82">
        <v>4.2886237753958767</v>
      </c>
      <c r="L82">
        <v>0.76487796101827721</v>
      </c>
    </row>
    <row r="83" spans="10:12" x14ac:dyDescent="0.2">
      <c r="J83">
        <v>76</v>
      </c>
      <c r="K83">
        <v>4.2939182326360212</v>
      </c>
      <c r="L83">
        <v>0.76189376065087433</v>
      </c>
    </row>
    <row r="84" spans="10:12" x14ac:dyDescent="0.2">
      <c r="J84">
        <v>77</v>
      </c>
      <c r="K84">
        <v>4.2992932302163185</v>
      </c>
      <c r="L84">
        <v>0.75891058442685611</v>
      </c>
    </row>
    <row r="85" spans="10:12" x14ac:dyDescent="0.2">
      <c r="J85">
        <v>78</v>
      </c>
      <c r="K85">
        <v>4.3047453983323019</v>
      </c>
      <c r="L85">
        <v>0.75592852502368379</v>
      </c>
    </row>
    <row r="86" spans="10:12" x14ac:dyDescent="0.2">
      <c r="J86">
        <v>79</v>
      </c>
      <c r="K86">
        <v>4.310271557681026</v>
      </c>
      <c r="L86">
        <v>0.75294767356526904</v>
      </c>
    </row>
    <row r="87" spans="10:12" x14ac:dyDescent="0.2">
      <c r="J87">
        <v>80</v>
      </c>
      <c r="K87">
        <v>4.3158687075214326</v>
      </c>
      <c r="L87">
        <v>0.74996811964035481</v>
      </c>
    </row>
    <row r="88" spans="10:12" x14ac:dyDescent="0.2">
      <c r="J88">
        <v>81</v>
      </c>
      <c r="K88">
        <v>4.3215340146234027</v>
      </c>
      <c r="L88">
        <v>0.74698995132068158</v>
      </c>
    </row>
    <row r="89" spans="10:12" x14ac:dyDescent="0.2">
      <c r="J89">
        <v>82</v>
      </c>
      <c r="K89">
        <v>4.3272648030295437</v>
      </c>
      <c r="L89">
        <v>0.74401325517894401</v>
      </c>
    </row>
    <row r="90" spans="10:12" x14ac:dyDescent="0.2">
      <c r="J90">
        <v>83</v>
      </c>
      <c r="K90">
        <v>4.3330585445611813</v>
      </c>
      <c r="L90">
        <v>0.74103811630654015</v>
      </c>
    </row>
    <row r="91" spans="10:12" x14ac:dyDescent="0.2">
      <c r="J91">
        <v>84</v>
      </c>
      <c r="K91">
        <v>4.3389128500065226</v>
      </c>
      <c r="L91">
        <v>0.73806461833111536</v>
      </c>
    </row>
    <row r="92" spans="10:12" x14ac:dyDescent="0.2">
      <c r="J92">
        <v>85</v>
      </c>
      <c r="K92">
        <v>4.3448252707289434</v>
      </c>
      <c r="L92">
        <v>0.7350928533377471</v>
      </c>
    </row>
    <row r="93" spans="10:12" x14ac:dyDescent="0.2">
      <c r="J93">
        <v>86</v>
      </c>
      <c r="K93">
        <v>4.3507927363261336</v>
      </c>
      <c r="L93">
        <v>0.73212295137226613</v>
      </c>
    </row>
    <row r="94" spans="10:12" x14ac:dyDescent="0.2">
      <c r="J94">
        <v>87</v>
      </c>
      <c r="K94">
        <v>4.3568121446245858</v>
      </c>
      <c r="L94">
        <v>0.72915505035631822</v>
      </c>
    </row>
    <row r="95" spans="10:12" x14ac:dyDescent="0.2">
      <c r="J95">
        <v>88</v>
      </c>
      <c r="K95">
        <v>4.3628805465325113</v>
      </c>
      <c r="L95">
        <v>0.72618928615234069</v>
      </c>
    </row>
    <row r="96" spans="10:12" x14ac:dyDescent="0.2">
      <c r="J96">
        <v>89</v>
      </c>
      <c r="K96">
        <v>4.3689951372006623</v>
      </c>
      <c r="L96">
        <v>0.72322579258888098</v>
      </c>
    </row>
    <row r="97" spans="10:12" x14ac:dyDescent="0.2">
      <c r="J97">
        <v>90</v>
      </c>
      <c r="K97">
        <v>4.3751532477754029</v>
      </c>
      <c r="L97">
        <v>0.72026470148562494</v>
      </c>
    </row>
    <row r="98" spans="10:12" x14ac:dyDescent="0.2">
      <c r="J98">
        <v>91</v>
      </c>
      <c r="K98">
        <v>4.3813523376983188</v>
      </c>
      <c r="L98">
        <v>0.71730614267814163</v>
      </c>
    </row>
    <row r="99" spans="10:12" x14ac:dyDescent="0.2">
      <c r="J99">
        <v>92</v>
      </c>
      <c r="K99">
        <v>4.3875899875106903</v>
      </c>
      <c r="L99">
        <v>0.71435024404234904</v>
      </c>
    </row>
    <row r="100" spans="10:12" x14ac:dyDescent="0.2">
      <c r="J100">
        <v>93</v>
      </c>
      <c r="K100">
        <v>4.3938638921248208</v>
      </c>
      <c r="L100">
        <v>0.71139713151869954</v>
      </c>
    </row>
    <row r="101" spans="10:12" x14ac:dyDescent="0.2">
      <c r="J101">
        <v>94</v>
      </c>
      <c r="K101">
        <v>4.4001718545273079</v>
      </c>
      <c r="L101">
        <v>0.70844692913609242</v>
      </c>
    </row>
    <row r="102" spans="10:12" x14ac:dyDescent="0.2">
      <c r="J102">
        <v>95</v>
      </c>
      <c r="K102">
        <v>4.4065117798823872</v>
      </c>
      <c r="L102">
        <v>0.70549975903551387</v>
      </c>
    </row>
    <row r="103" spans="10:12" x14ac:dyDescent="0.2">
      <c r="J103">
        <v>96</v>
      </c>
      <c r="K103">
        <v>4.4128816700061231</v>
      </c>
      <c r="L103">
        <v>0.70255574149340894</v>
      </c>
    </row>
    <row r="104" spans="10:12" x14ac:dyDescent="0.2">
      <c r="J104">
        <v>97</v>
      </c>
      <c r="K104">
        <v>4.4192795526637472</v>
      </c>
      <c r="L104">
        <v>0.69961499865013532</v>
      </c>
    </row>
    <row r="105" spans="10:12" x14ac:dyDescent="0.2">
      <c r="J105">
        <v>98</v>
      </c>
      <c r="K105">
        <v>4.4257032847878008</v>
      </c>
      <c r="L105">
        <v>0.69667766556453736</v>
      </c>
    </row>
    <row r="106" spans="10:12" x14ac:dyDescent="0.2">
      <c r="J106">
        <v>99</v>
      </c>
      <c r="K106">
        <v>4.4321507522462227</v>
      </c>
      <c r="L106">
        <v>0.69374387897444656</v>
      </c>
    </row>
    <row r="107" spans="10:12" x14ac:dyDescent="0.2">
      <c r="J107">
        <v>100</v>
      </c>
      <c r="K107">
        <v>4.4386199315120987</v>
      </c>
      <c r="L107">
        <v>0.69081377359573259</v>
      </c>
    </row>
    <row r="108" spans="10:12" x14ac:dyDescent="0.2">
      <c r="J108">
        <v>101</v>
      </c>
      <c r="K108">
        <v>4.4451088849129317</v>
      </c>
      <c r="L108">
        <v>0.68788748214765716</v>
      </c>
    </row>
    <row r="109" spans="10:12" x14ac:dyDescent="0.2">
      <c r="J109">
        <v>102</v>
      </c>
      <c r="K109">
        <v>4.4516157561611855</v>
      </c>
      <c r="L109">
        <v>0.68496513537794146</v>
      </c>
    </row>
    <row r="110" spans="10:12" x14ac:dyDescent="0.2">
      <c r="J110">
        <v>103</v>
      </c>
      <c r="K110">
        <v>4.4581387661469734</v>
      </c>
      <c r="L110">
        <v>0.68204686208754683</v>
      </c>
    </row>
    <row r="111" spans="10:12" x14ac:dyDescent="0.2">
      <c r="J111">
        <v>104</v>
      </c>
      <c r="K111">
        <v>4.4646762089750034</v>
      </c>
      <c r="L111">
        <v>0.67913278915518116</v>
      </c>
    </row>
    <row r="112" spans="10:12" x14ac:dyDescent="0.2">
      <c r="J112">
        <v>105</v>
      </c>
      <c r="K112">
        <v>4.4712264482296344</v>
      </c>
      <c r="L112">
        <v>0.6762230415615228</v>
      </c>
    </row>
    <row r="113" spans="10:12" x14ac:dyDescent="0.2">
      <c r="J113">
        <v>106</v>
      </c>
      <c r="K113">
        <v>4.4777879134527483</v>
      </c>
      <c r="L113">
        <v>0.67331774241317444</v>
      </c>
    </row>
    <row r="114" spans="10:12" x14ac:dyDescent="0.2">
      <c r="J114">
        <v>107</v>
      </c>
      <c r="K114">
        <v>4.4843590968205094</v>
      </c>
      <c r="L114">
        <v>0.67041701296634548</v>
      </c>
    </row>
    <row r="115" spans="10:12" x14ac:dyDescent="0.2">
      <c r="J115">
        <v>108</v>
      </c>
      <c r="K115">
        <v>4.4909385500061338</v>
      </c>
      <c r="L115">
        <v>0.66752097265026322</v>
      </c>
    </row>
    <row r="116" spans="10:12" x14ac:dyDescent="0.2">
      <c r="J116">
        <v>109</v>
      </c>
      <c r="K116">
        <v>4.4975248701188253</v>
      </c>
      <c r="L116">
        <v>0.66462973976029605</v>
      </c>
    </row>
    <row r="117" spans="10:12" x14ac:dyDescent="0.2">
      <c r="J117">
        <v>110</v>
      </c>
      <c r="K117">
        <v>4.5041166642849291</v>
      </c>
      <c r="L117">
        <v>0.6617434334755119</v>
      </c>
    </row>
    <row r="118" spans="10:12" x14ac:dyDescent="0.2">
      <c r="J118">
        <v>111</v>
      </c>
      <c r="K118">
        <v>4.510712581426473</v>
      </c>
      <c r="L118">
        <v>0.65886217184498386</v>
      </c>
    </row>
    <row r="119" spans="10:12" x14ac:dyDescent="0.2">
      <c r="J119">
        <v>112</v>
      </c>
      <c r="K119">
        <v>4.5173113209258347</v>
      </c>
      <c r="L119">
        <v>0.65598607113695173</v>
      </c>
    </row>
    <row r="120" spans="10:12" x14ac:dyDescent="0.2">
      <c r="J120">
        <v>113</v>
      </c>
      <c r="K120">
        <v>4.5239116301581221</v>
      </c>
      <c r="L120">
        <v>0.65311524586153324</v>
      </c>
    </row>
    <row r="121" spans="10:12" x14ac:dyDescent="0.2">
      <c r="J121">
        <v>114</v>
      </c>
      <c r="K121">
        <v>4.5305123021542917</v>
      </c>
      <c r="L121">
        <v>0.65024980879318228</v>
      </c>
    </row>
    <row r="122" spans="10:12" x14ac:dyDescent="0.2">
      <c r="J122">
        <v>115</v>
      </c>
      <c r="K122">
        <v>4.5371121733871238</v>
      </c>
      <c r="L122">
        <v>0.64738987099288925</v>
      </c>
    </row>
    <row r="123" spans="10:12" x14ac:dyDescent="0.2">
      <c r="J123">
        <v>116</v>
      </c>
      <c r="K123">
        <v>4.5437101216724365</v>
      </c>
      <c r="L123">
        <v>0.64453554183013551</v>
      </c>
    </row>
    <row r="124" spans="10:12" x14ac:dyDescent="0.2">
      <c r="J124">
        <v>117</v>
      </c>
      <c r="K124">
        <v>4.5503050641787013</v>
      </c>
      <c r="L124">
        <v>0.64168692900459767</v>
      </c>
    </row>
    <row r="125" spans="10:12" x14ac:dyDescent="0.2">
      <c r="J125">
        <v>118</v>
      </c>
      <c r="K125">
        <v>4.5568959555385931</v>
      </c>
      <c r="L125">
        <v>0.63884413856760469</v>
      </c>
    </row>
    <row r="126" spans="10:12" x14ac:dyDescent="0.2">
      <c r="J126">
        <v>119</v>
      </c>
      <c r="K126">
        <v>4.563481786056327</v>
      </c>
      <c r="L126">
        <v>0.63600727494335618</v>
      </c>
    </row>
    <row r="127" spans="10:12" x14ac:dyDescent="0.2">
      <c r="J127">
        <v>120</v>
      </c>
      <c r="K127">
        <v>4.5700615800052358</v>
      </c>
      <c r="L127">
        <v>0.63317644094989955</v>
      </c>
    </row>
    <row r="128" spans="10:12" x14ac:dyDescent="0.2">
      <c r="J128">
        <v>121</v>
      </c>
      <c r="K128">
        <v>4.5766343773051998</v>
      </c>
      <c r="L128">
        <v>0.63035173888165419</v>
      </c>
    </row>
    <row r="129" spans="10:12" x14ac:dyDescent="0.2">
      <c r="J129">
        <v>122</v>
      </c>
      <c r="K129">
        <v>4.5831991827487064</v>
      </c>
      <c r="L129">
        <v>0.62753327369110923</v>
      </c>
    </row>
    <row r="130" spans="10:12" x14ac:dyDescent="0.2">
      <c r="J130">
        <v>123</v>
      </c>
      <c r="K130">
        <v>4.5897550161350384</v>
      </c>
      <c r="L130">
        <v>0.62472114978189786</v>
      </c>
    </row>
    <row r="131" spans="10:12" x14ac:dyDescent="0.2">
      <c r="J131">
        <v>124</v>
      </c>
      <c r="K131">
        <v>4.5963009276872588</v>
      </c>
      <c r="L131">
        <v>0.62191546996191993</v>
      </c>
    </row>
    <row r="132" spans="10:12" x14ac:dyDescent="0.2">
      <c r="J132">
        <v>125</v>
      </c>
      <c r="K132">
        <v>4.6028359966108665</v>
      </c>
      <c r="L132">
        <v>0.61911633546410383</v>
      </c>
    </row>
    <row r="133" spans="10:12" x14ac:dyDescent="0.2">
      <c r="J133">
        <v>126</v>
      </c>
      <c r="K133">
        <v>4.6093593297215492</v>
      </c>
      <c r="L133">
        <v>0.6163238459669288</v>
      </c>
    </row>
    <row r="134" spans="10:12" x14ac:dyDescent="0.2">
      <c r="J134">
        <v>127</v>
      </c>
      <c r="K134">
        <v>4.6158700601380156</v>
      </c>
      <c r="L134">
        <v>0.6135380996147205</v>
      </c>
    </row>
    <row r="135" spans="10:12" x14ac:dyDescent="0.2">
      <c r="J135">
        <v>128</v>
      </c>
      <c r="K135">
        <v>4.6223673460364241</v>
      </c>
      <c r="L135">
        <v>0.6107591930377152</v>
      </c>
    </row>
    <row r="136" spans="10:12" x14ac:dyDescent="0.2">
      <c r="J136">
        <v>129</v>
      </c>
      <c r="K136">
        <v>4.6288503694629775</v>
      </c>
      <c r="L136">
        <v>0.60798722137189876</v>
      </c>
    </row>
    <row r="137" spans="10:12" x14ac:dyDescent="0.2">
      <c r="J137">
        <v>130</v>
      </c>
      <c r="K137">
        <v>4.6353183352015259</v>
      </c>
      <c r="L137">
        <v>0.60522227827862318</v>
      </c>
    </row>
    <row r="138" spans="10:12" x14ac:dyDescent="0.2">
      <c r="J138">
        <v>131</v>
      </c>
      <c r="K138">
        <v>4.6417704696932587</v>
      </c>
      <c r="L138">
        <v>0.60246445596399878</v>
      </c>
    </row>
    <row r="139" spans="10:12" x14ac:dyDescent="0.2">
      <c r="J139">
        <v>132</v>
      </c>
      <c r="K139">
        <v>4.6482060200055564</v>
      </c>
      <c r="L139">
        <v>0.59971384519807369</v>
      </c>
    </row>
    <row r="140" spans="10:12" x14ac:dyDescent="0.2">
      <c r="J140">
        <v>133</v>
      </c>
      <c r="K140">
        <v>4.6546242362879635</v>
      </c>
      <c r="L140">
        <v>0.59697053642944609</v>
      </c>
    </row>
    <row r="141" spans="10:12" x14ac:dyDescent="0.2">
      <c r="J141">
        <v>134</v>
      </c>
      <c r="K141">
        <v>4.6610243219118388</v>
      </c>
      <c r="L141">
        <v>0.59423462306605423</v>
      </c>
    </row>
    <row r="142" spans="10:12" x14ac:dyDescent="0.2">
      <c r="J142">
        <v>135</v>
      </c>
      <c r="K142">
        <v>4.6674054835329173</v>
      </c>
      <c r="L142">
        <v>0.59150619816355654</v>
      </c>
    </row>
    <row r="143" spans="10:12" x14ac:dyDescent="0.2">
      <c r="J143">
        <v>136</v>
      </c>
      <c r="K143">
        <v>4.6737669468870262</v>
      </c>
      <c r="L143">
        <v>0.58878535334269821</v>
      </c>
    </row>
    <row r="144" spans="10:12" x14ac:dyDescent="0.2">
      <c r="J144">
        <v>137</v>
      </c>
      <c r="K144">
        <v>4.6801079558731695</v>
      </c>
      <c r="L144">
        <v>0.58607217880840157</v>
      </c>
    </row>
    <row r="145" spans="10:12" x14ac:dyDescent="0.2">
      <c r="J145">
        <v>138</v>
      </c>
      <c r="K145">
        <v>4.6864277716765779</v>
      </c>
      <c r="L145">
        <v>0.58336676336864179</v>
      </c>
    </row>
    <row r="146" spans="10:12" x14ac:dyDescent="0.2">
      <c r="J146">
        <v>139</v>
      </c>
      <c r="K146">
        <v>4.6927256719296757</v>
      </c>
      <c r="L146">
        <v>0.58066919445310938</v>
      </c>
    </row>
    <row r="147" spans="10:12" x14ac:dyDescent="0.2">
      <c r="J147">
        <v>140</v>
      </c>
      <c r="K147">
        <v>4.699000949908994</v>
      </c>
      <c r="L147">
        <v>0.57797955813166568</v>
      </c>
    </row>
    <row r="148" spans="10:12" x14ac:dyDescent="0.2">
      <c r="J148">
        <v>141</v>
      </c>
      <c r="K148">
        <v>4.7052529137663797</v>
      </c>
      <c r="L148">
        <v>0.5752979391325852</v>
      </c>
    </row>
    <row r="149" spans="10:12" x14ac:dyDescent="0.2">
      <c r="J149">
        <v>142</v>
      </c>
      <c r="K149">
        <v>4.7114808857925974</v>
      </c>
      <c r="L149">
        <v>0.57262442086059939</v>
      </c>
    </row>
    <row r="150" spans="10:12" x14ac:dyDescent="0.2">
      <c r="J150">
        <v>143</v>
      </c>
      <c r="K150">
        <v>4.7176842017118128</v>
      </c>
      <c r="L150">
        <v>0.56995908541473783</v>
      </c>
    </row>
    <row r="151" spans="10:12" x14ac:dyDescent="0.2">
      <c r="J151">
        <v>144</v>
      </c>
      <c r="K151">
        <v>4.7238622100055796</v>
      </c>
      <c r="L151">
        <v>0.56730201360596066</v>
      </c>
    </row>
    <row r="152" spans="10:12" x14ac:dyDescent="0.2">
      <c r="J152">
        <v>145</v>
      </c>
      <c r="K152">
        <v>4.7300142612145439</v>
      </c>
      <c r="L152">
        <v>0.5646532856603097</v>
      </c>
    </row>
    <row r="153" spans="10:12" x14ac:dyDescent="0.2">
      <c r="J153">
        <v>146</v>
      </c>
      <c r="K153">
        <v>4.7361396775702653</v>
      </c>
      <c r="L153">
        <v>0.56201298327767746</v>
      </c>
    </row>
    <row r="154" spans="10:12" x14ac:dyDescent="0.2">
      <c r="J154">
        <v>147</v>
      </c>
      <c r="K154">
        <v>4.7422377832327394</v>
      </c>
      <c r="L154">
        <v>0.55938118756470367</v>
      </c>
    </row>
    <row r="155" spans="10:12" x14ac:dyDescent="0.2">
      <c r="J155">
        <v>148</v>
      </c>
      <c r="K155">
        <v>4.7483079138215674</v>
      </c>
      <c r="L155">
        <v>0.55675797836261043</v>
      </c>
    </row>
    <row r="156" spans="10:12" x14ac:dyDescent="0.2">
      <c r="J156">
        <v>149</v>
      </c>
      <c r="K156">
        <v>4.7543494158185586</v>
      </c>
      <c r="L156">
        <v>0.55414343426447865</v>
      </c>
    </row>
    <row r="157" spans="10:12" x14ac:dyDescent="0.2">
      <c r="J157">
        <v>150</v>
      </c>
      <c r="K157">
        <v>4.7603616459942328</v>
      </c>
      <c r="L157">
        <v>0.55153763263233246</v>
      </c>
    </row>
    <row r="158" spans="10:12" x14ac:dyDescent="0.2">
      <c r="J158">
        <v>151</v>
      </c>
      <c r="K158">
        <v>4.7663439708571174</v>
      </c>
      <c r="L158">
        <v>0.54894064961403211</v>
      </c>
    </row>
    <row r="159" spans="10:12" x14ac:dyDescent="0.2">
      <c r="J159">
        <v>152</v>
      </c>
      <c r="K159">
        <v>4.7722957661248442</v>
      </c>
      <c r="L159">
        <v>0.54635256015997613</v>
      </c>
    </row>
    <row r="160" spans="10:12" x14ac:dyDescent="0.2">
      <c r="J160">
        <v>153</v>
      </c>
      <c r="K160">
        <v>4.7782164162159804</v>
      </c>
      <c r="L160">
        <v>0.54377343803961731</v>
      </c>
    </row>
    <row r="161" spans="10:12" x14ac:dyDescent="0.2">
      <c r="J161">
        <v>154</v>
      </c>
      <c r="K161">
        <v>4.7841053137616569</v>
      </c>
      <c r="L161">
        <v>0.54120335585779711</v>
      </c>
    </row>
    <row r="162" spans="10:12" x14ac:dyDescent="0.2">
      <c r="J162">
        <v>155</v>
      </c>
      <c r="K162">
        <v>4.7899618591362412</v>
      </c>
      <c r="L162">
        <v>0.53864238507088946</v>
      </c>
    </row>
    <row r="163" spans="10:12" x14ac:dyDescent="0.2">
      <c r="J163">
        <v>156</v>
      </c>
      <c r="K163">
        <v>4.7957854600059822</v>
      </c>
      <c r="L163">
        <v>0.53609059600277276</v>
      </c>
    </row>
    <row r="164" spans="10:12" x14ac:dyDescent="0.2">
      <c r="J164">
        <v>157</v>
      </c>
      <c r="K164">
        <v>4.801575528572819</v>
      </c>
      <c r="L164">
        <v>0.53354805802272176</v>
      </c>
    </row>
    <row r="165" spans="10:12" x14ac:dyDescent="0.2">
      <c r="J165">
        <v>158</v>
      </c>
      <c r="K165">
        <v>4.8073314742725577</v>
      </c>
      <c r="L165">
        <v>0.53101484004364552</v>
      </c>
    </row>
    <row r="166" spans="10:12" x14ac:dyDescent="0.2">
      <c r="J166">
        <v>159</v>
      </c>
      <c r="K166">
        <v>4.8130527104794076</v>
      </c>
      <c r="L166">
        <v>0.52849101004482324</v>
      </c>
    </row>
    <row r="167" spans="10:12" x14ac:dyDescent="0.2">
      <c r="J167">
        <v>160</v>
      </c>
      <c r="K167">
        <v>4.8187386564531014</v>
      </c>
      <c r="L167">
        <v>0.52597663492428171</v>
      </c>
    </row>
    <row r="168" spans="10:12" x14ac:dyDescent="0.2">
      <c r="J168">
        <v>161</v>
      </c>
      <c r="K168">
        <v>4.8243887369576548</v>
      </c>
      <c r="L168">
        <v>0.52347178051403087</v>
      </c>
    </row>
    <row r="169" spans="10:12" x14ac:dyDescent="0.2">
      <c r="J169">
        <v>162</v>
      </c>
      <c r="K169">
        <v>4.8300023818942854</v>
      </c>
      <c r="L169">
        <v>0.52097651159513814</v>
      </c>
    </row>
    <row r="170" spans="10:12" x14ac:dyDescent="0.2">
      <c r="J170">
        <v>163</v>
      </c>
      <c r="K170">
        <v>4.8355790259481513</v>
      </c>
      <c r="L170">
        <v>0.51849089191262387</v>
      </c>
    </row>
    <row r="171" spans="10:12" x14ac:dyDescent="0.2">
      <c r="J171">
        <v>164</v>
      </c>
      <c r="K171">
        <v>4.8411181082481534</v>
      </c>
      <c r="L171">
        <v>0.51601498419019631</v>
      </c>
    </row>
    <row r="172" spans="10:12" x14ac:dyDescent="0.2">
      <c r="J172">
        <v>165</v>
      </c>
      <c r="K172">
        <v>4.8466190720392799</v>
      </c>
      <c r="L172">
        <v>0.51354885014482332</v>
      </c>
    </row>
    <row r="173" spans="10:12" x14ac:dyDescent="0.2">
      <c r="J173">
        <v>166</v>
      </c>
      <c r="K173">
        <v>4.8520813643671543</v>
      </c>
      <c r="L173">
        <v>0.51109255050113567</v>
      </c>
    </row>
    <row r="174" spans="10:12" x14ac:dyDescent="0.2">
      <c r="J174">
        <v>167</v>
      </c>
      <c r="K174">
        <v>4.8575044357740227</v>
      </c>
      <c r="L174">
        <v>0.50864614500567962</v>
      </c>
    </row>
    <row r="175" spans="10:12" x14ac:dyDescent="0.2">
      <c r="J175">
        <v>168</v>
      </c>
      <c r="K175">
        <v>4.8628877400060837</v>
      </c>
      <c r="L175">
        <v>0.506209692440998</v>
      </c>
    </row>
    <row r="176" spans="10:12" x14ac:dyDescent="0.2">
      <c r="J176">
        <v>169</v>
      </c>
      <c r="K176">
        <v>4.8682307485000598</v>
      </c>
      <c r="L176">
        <v>0.50378324959173659</v>
      </c>
    </row>
    <row r="177" spans="10:12" x14ac:dyDescent="0.2">
      <c r="J177">
        <v>170</v>
      </c>
      <c r="K177">
        <v>4.8735329939529191</v>
      </c>
      <c r="L177">
        <v>0.50136686813877085</v>
      </c>
    </row>
    <row r="178" spans="10:12" x14ac:dyDescent="0.2">
      <c r="J178">
        <v>171</v>
      </c>
      <c r="K178">
        <v>4.8787940249648019</v>
      </c>
      <c r="L178">
        <v>0.49896059785761593</v>
      </c>
    </row>
    <row r="179" spans="10:12" x14ac:dyDescent="0.2">
      <c r="J179">
        <v>172</v>
      </c>
      <c r="K179">
        <v>4.884013390951039</v>
      </c>
      <c r="L179">
        <v>0.49656448768479972</v>
      </c>
    </row>
    <row r="180" spans="10:12" x14ac:dyDescent="0.2">
      <c r="J180">
        <v>173</v>
      </c>
      <c r="K180">
        <v>4.8891906419489617</v>
      </c>
      <c r="L180">
        <v>0.49417858573025497</v>
      </c>
    </row>
    <row r="181" spans="10:12" x14ac:dyDescent="0.2">
      <c r="J181">
        <v>174</v>
      </c>
      <c r="K181">
        <v>4.8943253284316501</v>
      </c>
      <c r="L181">
        <v>0.49180293928957614</v>
      </c>
    </row>
    <row r="182" spans="10:12" x14ac:dyDescent="0.2">
      <c r="J182">
        <v>175</v>
      </c>
      <c r="K182">
        <v>4.8994170011284446</v>
      </c>
      <c r="L182">
        <v>0.48943759485613686</v>
      </c>
    </row>
    <row r="183" spans="10:12" x14ac:dyDescent="0.2">
      <c r="J183">
        <v>176</v>
      </c>
      <c r="K183">
        <v>4.9044652108518729</v>
      </c>
      <c r="L183">
        <v>0.48708259813307825</v>
      </c>
    </row>
    <row r="184" spans="10:12" x14ac:dyDescent="0.2">
      <c r="J184">
        <v>177</v>
      </c>
      <c r="K184">
        <v>4.9094695083309583</v>
      </c>
      <c r="L184">
        <v>0.48473799404515633</v>
      </c>
    </row>
    <row r="185" spans="10:12" x14ac:dyDescent="0.2">
      <c r="J185">
        <v>178</v>
      </c>
      <c r="K185">
        <v>4.9144294440505041</v>
      </c>
      <c r="L185">
        <v>0.48240382675046378</v>
      </c>
    </row>
    <row r="186" spans="10:12" x14ac:dyDescent="0.2">
      <c r="J186">
        <v>179</v>
      </c>
      <c r="K186">
        <v>4.919344568096311</v>
      </c>
      <c r="L186">
        <v>0.48008013965201812</v>
      </c>
    </row>
    <row r="187" spans="10:12" x14ac:dyDescent="0.2">
      <c r="J187">
        <v>180</v>
      </c>
      <c r="K187">
        <v>4.9242144300060122</v>
      </c>
      <c r="L187">
        <v>0.4777669754092253</v>
      </c>
    </row>
    <row r="188" spans="10:12" x14ac:dyDescent="0.2">
      <c r="J188">
        <v>181</v>
      </c>
      <c r="K188">
        <v>4.9290386134633994</v>
      </c>
      <c r="L188">
        <v>0.47546437345078069</v>
      </c>
    </row>
    <row r="189" spans="10:12" x14ac:dyDescent="0.2">
      <c r="J189">
        <v>182</v>
      </c>
      <c r="K189">
        <v>4.9338168396928106</v>
      </c>
      <c r="L189">
        <v>0.47317236254744488</v>
      </c>
    </row>
    <row r="190" spans="10:12" x14ac:dyDescent="0.2">
      <c r="J190">
        <v>183</v>
      </c>
      <c r="K190">
        <v>4.938548861143107</v>
      </c>
      <c r="L190">
        <v>0.47089096841688183</v>
      </c>
    </row>
    <row r="191" spans="10:12" x14ac:dyDescent="0.2">
      <c r="J191">
        <v>184</v>
      </c>
      <c r="K191">
        <v>4.9432344263740031</v>
      </c>
      <c r="L191">
        <v>0.46862021624514094</v>
      </c>
    </row>
    <row r="192" spans="10:12" x14ac:dyDescent="0.2">
      <c r="J192">
        <v>185</v>
      </c>
      <c r="K192">
        <v>4.9478732800320406</v>
      </c>
      <c r="L192">
        <v>0.46636013069528176</v>
      </c>
    </row>
    <row r="193" spans="10:12" x14ac:dyDescent="0.2">
      <c r="J193">
        <v>186</v>
      </c>
      <c r="K193">
        <v>4.9524651628275551</v>
      </c>
      <c r="L193">
        <v>0.4641107359159089</v>
      </c>
    </row>
    <row r="194" spans="10:12" x14ac:dyDescent="0.2">
      <c r="J194">
        <v>187</v>
      </c>
      <c r="K194">
        <v>4.9570098115127612</v>
      </c>
      <c r="L194">
        <v>0.46187205554960892</v>
      </c>
    </row>
    <row r="195" spans="10:12" x14ac:dyDescent="0.2">
      <c r="J195">
        <v>188</v>
      </c>
      <c r="K195">
        <v>4.9615069588609053</v>
      </c>
      <c r="L195">
        <v>0.45964411274129413</v>
      </c>
    </row>
    <row r="196" spans="10:12" x14ac:dyDescent="0.2">
      <c r="J196">
        <v>189</v>
      </c>
      <c r="K196">
        <v>4.9659563336464885</v>
      </c>
      <c r="L196">
        <v>0.45742693014645336</v>
      </c>
    </row>
    <row r="197" spans="10:12" x14ac:dyDescent="0.2">
      <c r="J197">
        <v>190</v>
      </c>
      <c r="K197">
        <v>4.9703576606265383</v>
      </c>
      <c r="L197">
        <v>0.4552205299393135</v>
      </c>
    </row>
    <row r="198" spans="10:12" x14ac:dyDescent="0.2">
      <c r="J198">
        <v>191</v>
      </c>
      <c r="K198">
        <v>4.9747106605230176</v>
      </c>
      <c r="L198">
        <v>0.45302493382090564</v>
      </c>
    </row>
    <row r="199" spans="10:12" x14ac:dyDescent="0.2">
      <c r="J199">
        <v>192</v>
      </c>
      <c r="K199">
        <v>4.9790150500061952</v>
      </c>
      <c r="L199">
        <v>0.45084016302705021</v>
      </c>
    </row>
    <row r="200" spans="10:12" x14ac:dyDescent="0.2">
      <c r="J200">
        <v>193</v>
      </c>
      <c r="K200">
        <v>4.9832705799043699</v>
      </c>
      <c r="L200">
        <v>0.44866623557789964</v>
      </c>
    </row>
    <row r="201" spans="10:12" x14ac:dyDescent="0.2">
      <c r="J201">
        <v>194</v>
      </c>
      <c r="K201">
        <v>4.987477148892836</v>
      </c>
      <c r="L201">
        <v>0.44650315807347934</v>
      </c>
    </row>
    <row r="202" spans="10:12" x14ac:dyDescent="0.2">
      <c r="J202">
        <v>195</v>
      </c>
      <c r="K202">
        <v>4.9916346871481005</v>
      </c>
      <c r="L202">
        <v>0.44435093408515181</v>
      </c>
    </row>
    <row r="203" spans="10:12" x14ac:dyDescent="0.2">
      <c r="J203">
        <v>196</v>
      </c>
      <c r="K203">
        <v>4.99574311795815</v>
      </c>
      <c r="L203">
        <v>0.44220956693494029</v>
      </c>
    </row>
    <row r="204" spans="10:12" x14ac:dyDescent="0.2">
      <c r="J204">
        <v>197</v>
      </c>
      <c r="K204">
        <v>4.9998023578034818</v>
      </c>
      <c r="L204">
        <v>0.44007905970063821</v>
      </c>
    </row>
    <row r="205" spans="10:12" x14ac:dyDescent="0.2">
      <c r="J205">
        <v>198</v>
      </c>
      <c r="K205">
        <v>5.003812316436</v>
      </c>
      <c r="L205">
        <v>0.43795941522085791</v>
      </c>
    </row>
    <row r="206" spans="10:12" x14ac:dyDescent="0.2">
      <c r="J206">
        <v>199</v>
      </c>
      <c r="K206">
        <v>5.0077728969557525</v>
      </c>
      <c r="L206">
        <v>0.43585063610002789</v>
      </c>
    </row>
    <row r="207" spans="10:12" x14ac:dyDescent="0.2">
      <c r="J207">
        <v>200</v>
      </c>
      <c r="K207">
        <v>5.0116839958857646</v>
      </c>
      <c r="L207">
        <v>0.43375272471332948</v>
      </c>
    </row>
    <row r="208" spans="10:12" x14ac:dyDescent="0.2">
      <c r="J208">
        <v>201</v>
      </c>
      <c r="K208">
        <v>5.015545503244919</v>
      </c>
      <c r="L208">
        <v>0.43166568321158516</v>
      </c>
    </row>
    <row r="209" spans="10:12" x14ac:dyDescent="0.2">
      <c r="J209">
        <v>202</v>
      </c>
      <c r="K209">
        <v>5.0193573026191185</v>
      </c>
      <c r="L209">
        <v>0.42958951352608693</v>
      </c>
    </row>
    <row r="210" spans="10:12" x14ac:dyDescent="0.2">
      <c r="J210">
        <v>203</v>
      </c>
      <c r="K210">
        <v>5.0231192712307147</v>
      </c>
      <c r="L210">
        <v>0.42752421737337593</v>
      </c>
    </row>
    <row r="211" spans="10:12" x14ac:dyDescent="0.2">
      <c r="J211">
        <v>204</v>
      </c>
      <c r="K211">
        <v>5.0268312800064177</v>
      </c>
      <c r="L211">
        <v>0.42546979625996473</v>
      </c>
    </row>
    <row r="212" spans="10:12" x14ac:dyDescent="0.2">
      <c r="J212">
        <v>205</v>
      </c>
      <c r="K212">
        <v>5.0304932323917537</v>
      </c>
      <c r="L212">
        <v>0.42342624868415385</v>
      </c>
    </row>
    <row r="213" spans="10:12" x14ac:dyDescent="0.2">
      <c r="J213">
        <v>206</v>
      </c>
      <c r="K213">
        <v>5.0341051797620882</v>
      </c>
      <c r="L213">
        <v>0.42139356179585014</v>
      </c>
    </row>
    <row r="214" spans="10:12" x14ac:dyDescent="0.2">
      <c r="J214">
        <v>207</v>
      </c>
      <c r="K214">
        <v>5.0376672037074615</v>
      </c>
      <c r="L214">
        <v>0.41937171992018651</v>
      </c>
    </row>
    <row r="215" spans="10:12" x14ac:dyDescent="0.2">
      <c r="J215">
        <v>208</v>
      </c>
      <c r="K215">
        <v>5.0411793772004723</v>
      </c>
      <c r="L215">
        <v>0.41736070737846442</v>
      </c>
    </row>
    <row r="216" spans="10:12" x14ac:dyDescent="0.2">
      <c r="J216">
        <v>209</v>
      </c>
      <c r="K216">
        <v>5.0446417647372215</v>
      </c>
      <c r="L216">
        <v>0.41536050849014311</v>
      </c>
    </row>
    <row r="217" spans="10:12" x14ac:dyDescent="0.2">
      <c r="J217">
        <v>210</v>
      </c>
      <c r="K217">
        <v>5.0480544224743831</v>
      </c>
      <c r="L217">
        <v>0.41337110757480966</v>
      </c>
    </row>
    <row r="218" spans="10:12" x14ac:dyDescent="0.2">
      <c r="J218">
        <v>211</v>
      </c>
      <c r="K218">
        <v>5.0514173983626494</v>
      </c>
      <c r="L218">
        <v>0.41139248895412239</v>
      </c>
    </row>
    <row r="219" spans="10:12" x14ac:dyDescent="0.2">
      <c r="J219">
        <v>212</v>
      </c>
      <c r="K219">
        <v>5.0547307322765382</v>
      </c>
      <c r="L219">
        <v>0.40942463695374032</v>
      </c>
    </row>
    <row r="220" spans="10:12" x14ac:dyDescent="0.2">
      <c r="J220">
        <v>213</v>
      </c>
      <c r="K220">
        <v>5.0579944561409418</v>
      </c>
      <c r="L220">
        <v>0.40746753590522145</v>
      </c>
    </row>
    <row r="221" spans="10:12" x14ac:dyDescent="0.2">
      <c r="J221">
        <v>214</v>
      </c>
      <c r="K221">
        <v>5.061208594054273</v>
      </c>
      <c r="L221">
        <v>0.40552117014790934</v>
      </c>
    </row>
    <row r="222" spans="10:12" x14ac:dyDescent="0.2">
      <c r="J222">
        <v>215</v>
      </c>
      <c r="K222">
        <v>5.064373162408554</v>
      </c>
      <c r="L222">
        <v>0.4035855240307949</v>
      </c>
    </row>
    <row r="223" spans="10:12" x14ac:dyDescent="0.2">
      <c r="J223">
        <v>216</v>
      </c>
      <c r="K223">
        <v>5.0674881700065164</v>
      </c>
      <c r="L223">
        <v>0.40166058191435661</v>
      </c>
    </row>
    <row r="224" spans="10:12" x14ac:dyDescent="0.2">
      <c r="J224">
        <v>217</v>
      </c>
      <c r="K224">
        <v>5.070553660819721</v>
      </c>
      <c r="L224">
        <v>0.39974632508976066</v>
      </c>
    </row>
    <row r="225" spans="10:12" x14ac:dyDescent="0.2">
      <c r="J225">
        <v>218</v>
      </c>
      <c r="K225">
        <v>5.0735698411213139</v>
      </c>
      <c r="L225">
        <v>0.39784272260293468</v>
      </c>
    </row>
    <row r="226" spans="10:12" x14ac:dyDescent="0.2">
      <c r="J226">
        <v>219</v>
      </c>
      <c r="K226">
        <v>5.0765369501052389</v>
      </c>
      <c r="L226">
        <v>0.39594974062571608</v>
      </c>
    </row>
    <row r="227" spans="10:12" x14ac:dyDescent="0.2">
      <c r="J227">
        <v>220</v>
      </c>
      <c r="K227">
        <v>5.0794552171948792</v>
      </c>
      <c r="L227">
        <v>0.39406734555515749</v>
      </c>
    </row>
    <row r="228" spans="10:12" x14ac:dyDescent="0.2">
      <c r="J228">
        <v>221</v>
      </c>
      <c r="K228">
        <v>5.0823248622224222</v>
      </c>
      <c r="L228">
        <v>0.39219550401254211</v>
      </c>
    </row>
    <row r="229" spans="10:12" x14ac:dyDescent="0.2">
      <c r="J229">
        <v>222</v>
      </c>
      <c r="K229">
        <v>5.0851460956034717</v>
      </c>
      <c r="L229">
        <v>0.39033418284240906</v>
      </c>
    </row>
    <row r="230" spans="10:12" x14ac:dyDescent="0.2">
      <c r="J230">
        <v>223</v>
      </c>
      <c r="K230">
        <v>5.0879191185069796</v>
      </c>
      <c r="L230">
        <v>0.38848334911159244</v>
      </c>
    </row>
    <row r="231" spans="10:12" x14ac:dyDescent="0.2">
      <c r="J231">
        <v>224</v>
      </c>
      <c r="K231">
        <v>5.0906441230207662</v>
      </c>
      <c r="L231">
        <v>0.38664297010826876</v>
      </c>
    </row>
    <row r="232" spans="10:12" x14ac:dyDescent="0.2">
      <c r="J232">
        <v>225</v>
      </c>
      <c r="K232">
        <v>5.0933212923127051</v>
      </c>
      <c r="L232">
        <v>0.38481301334101625</v>
      </c>
    </row>
    <row r="233" spans="10:12" x14ac:dyDescent="0.2">
      <c r="J233">
        <v>226</v>
      </c>
      <c r="K233">
        <v>5.0959508007877474</v>
      </c>
      <c r="L233">
        <v>0.38299344653788453</v>
      </c>
    </row>
    <row r="234" spans="10:12" x14ac:dyDescent="0.2">
      <c r="J234">
        <v>227</v>
      </c>
      <c r="K234">
        <v>5.0985328142409632</v>
      </c>
      <c r="L234">
        <v>0.38118423764547288</v>
      </c>
    </row>
    <row r="235" spans="10:12" x14ac:dyDescent="0.2">
      <c r="J235">
        <v>228</v>
      </c>
      <c r="K235">
        <v>5.1010674900066428</v>
      </c>
      <c r="L235">
        <v>0.37938535482802271</v>
      </c>
    </row>
    <row r="236" spans="10:12" x14ac:dyDescent="0.2">
      <c r="J236">
        <v>229</v>
      </c>
      <c r="K236">
        <v>5.1035550180429281</v>
      </c>
      <c r="L236">
        <v>0.37759676351651583</v>
      </c>
    </row>
    <row r="237" spans="10:12" x14ac:dyDescent="0.2">
      <c r="J237">
        <v>230</v>
      </c>
      <c r="K237">
        <v>5.1059957430784584</v>
      </c>
      <c r="L237">
        <v>0.37581841762490648</v>
      </c>
    </row>
    <row r="238" spans="10:12" x14ac:dyDescent="0.2">
      <c r="J238">
        <v>231</v>
      </c>
      <c r="K238">
        <v>5.1083900405403861</v>
      </c>
      <c r="L238">
        <v>0.37405026851551676</v>
      </c>
    </row>
    <row r="239" spans="10:12" x14ac:dyDescent="0.2">
      <c r="J239">
        <v>232</v>
      </c>
      <c r="K239">
        <v>5.1107382756087967</v>
      </c>
      <c r="L239">
        <v>0.37229226796244208</v>
      </c>
    </row>
    <row r="240" spans="10:12" x14ac:dyDescent="0.2">
      <c r="J240">
        <v>233</v>
      </c>
      <c r="K240">
        <v>5.1130408034117591</v>
      </c>
      <c r="L240">
        <v>0.37054436814808073</v>
      </c>
    </row>
    <row r="241" spans="10:12" x14ac:dyDescent="0.2">
      <c r="J241">
        <v>234</v>
      </c>
      <c r="K241">
        <v>5.1152979692152645</v>
      </c>
      <c r="L241">
        <v>0.36880652165970584</v>
      </c>
    </row>
    <row r="242" spans="10:12" x14ac:dyDescent="0.2">
      <c r="J242">
        <v>235</v>
      </c>
      <c r="K242">
        <v>5.1175101086084469</v>
      </c>
      <c r="L242">
        <v>0.36707868148606554</v>
      </c>
    </row>
    <row r="243" spans="10:12" x14ac:dyDescent="0.2">
      <c r="J243">
        <v>236</v>
      </c>
      <c r="K243">
        <v>5.119677547683926</v>
      </c>
      <c r="L243">
        <v>0.36536080101403079</v>
      </c>
    </row>
    <row r="244" spans="10:12" x14ac:dyDescent="0.2">
      <c r="J244">
        <v>237</v>
      </c>
      <c r="K244">
        <v>5.1218006032136403</v>
      </c>
      <c r="L244">
        <v>0.36365283402527587</v>
      </c>
    </row>
    <row r="245" spans="10:12" x14ac:dyDescent="0.2">
      <c r="J245">
        <v>238</v>
      </c>
      <c r="K245">
        <v>5.1238795828202548</v>
      </c>
      <c r="L245">
        <v>0.36195473469299422</v>
      </c>
    </row>
    <row r="246" spans="10:12" x14ac:dyDescent="0.2">
      <c r="J246">
        <v>239</v>
      </c>
      <c r="K246">
        <v>5.1259147851442375</v>
      </c>
      <c r="L246">
        <v>0.36026645757865289</v>
      </c>
    </row>
    <row r="247" spans="10:12" x14ac:dyDescent="0.2">
      <c r="J247">
        <v>240</v>
      </c>
      <c r="K247">
        <v>5.127906500006759</v>
      </c>
      <c r="L247">
        <v>0.35858795762878304</v>
      </c>
    </row>
    <row r="248" spans="10:12" x14ac:dyDescent="0.2">
      <c r="J248">
        <v>241</v>
      </c>
      <c r="K248">
        <v>5.1298550373020415</v>
      </c>
      <c r="L248">
        <v>0.35691918811215351</v>
      </c>
    </row>
    <row r="249" spans="10:12" x14ac:dyDescent="0.2">
      <c r="J249">
        <v>242</v>
      </c>
      <c r="K249">
        <v>5.1317608128177232</v>
      </c>
      <c r="L249">
        <v>0.35526009448454399</v>
      </c>
    </row>
    <row r="250" spans="10:12" x14ac:dyDescent="0.2">
      <c r="J250">
        <v>243</v>
      </c>
      <c r="K250">
        <v>5.1336242612680669</v>
      </c>
      <c r="L250">
        <v>0.35361062064577198</v>
      </c>
    </row>
    <row r="251" spans="10:12" x14ac:dyDescent="0.2">
      <c r="J251">
        <v>244</v>
      </c>
      <c r="K251">
        <v>5.1354458076128111</v>
      </c>
      <c r="L251">
        <v>0.35197071100623878</v>
      </c>
    </row>
    <row r="252" spans="10:12" x14ac:dyDescent="0.2">
      <c r="J252">
        <v>245</v>
      </c>
      <c r="K252">
        <v>5.1372258672406597</v>
      </c>
      <c r="L252">
        <v>0.35034031048207293</v>
      </c>
    </row>
    <row r="253" spans="10:12" x14ac:dyDescent="0.2">
      <c r="J253">
        <v>246</v>
      </c>
      <c r="K253">
        <v>5.138964846148335</v>
      </c>
      <c r="L253">
        <v>0.34871936449031871</v>
      </c>
    </row>
    <row r="254" spans="10:12" x14ac:dyDescent="0.2">
      <c r="J254">
        <v>247</v>
      </c>
      <c r="K254">
        <v>5.1406631411150805</v>
      </c>
      <c r="L254">
        <v>0.34710781894419074</v>
      </c>
    </row>
    <row r="255" spans="10:12" x14ac:dyDescent="0.2">
      <c r="J255">
        <v>248</v>
      </c>
      <c r="K255">
        <v>5.1423211398730508</v>
      </c>
      <c r="L255">
        <v>0.34550562024836917</v>
      </c>
    </row>
    <row r="256" spans="10:12" x14ac:dyDescent="0.2">
      <c r="J256">
        <v>249</v>
      </c>
      <c r="K256">
        <v>5.143939221273504</v>
      </c>
      <c r="L256">
        <v>0.3439127152943523</v>
      </c>
    </row>
    <row r="257" spans="10:12" x14ac:dyDescent="0.2">
      <c r="J257">
        <v>250</v>
      </c>
      <c r="K257">
        <v>5.1455177554489433</v>
      </c>
      <c r="L257">
        <v>0.34232905145586029</v>
      </c>
    </row>
    <row r="258" spans="10:12" x14ac:dyDescent="0.2">
      <c r="J258">
        <v>251</v>
      </c>
      <c r="K258">
        <v>5.147057103971397</v>
      </c>
      <c r="L258">
        <v>0.34075457658428798</v>
      </c>
    </row>
    <row r="259" spans="10:12" x14ac:dyDescent="0.2">
      <c r="J259">
        <v>252</v>
      </c>
      <c r="K259">
        <v>5.1485576200068586</v>
      </c>
      <c r="L259">
        <v>0.33918923900421016</v>
      </c>
    </row>
    <row r="260" spans="10:12" x14ac:dyDescent="0.2">
      <c r="J260">
        <v>253</v>
      </c>
      <c r="K260">
        <v>5.1500196662615414</v>
      </c>
      <c r="L260">
        <v>0.33763298624217525</v>
      </c>
    </row>
    <row r="261" spans="10:12" x14ac:dyDescent="0.2">
      <c r="J261">
        <v>254</v>
      </c>
      <c r="K261">
        <v>5.1514436682026039</v>
      </c>
      <c r="L261">
        <v>0.33608576125085898</v>
      </c>
    </row>
    <row r="262" spans="10:12" x14ac:dyDescent="0.2">
      <c r="J262">
        <v>255</v>
      </c>
      <c r="K262">
        <v>5.1528300602783137</v>
      </c>
      <c r="L262">
        <v>0.33454750625491619</v>
      </c>
    </row>
    <row r="263" spans="10:12" x14ac:dyDescent="0.2">
      <c r="J263">
        <v>256</v>
      </c>
      <c r="K263">
        <v>5.1541792682062129</v>
      </c>
      <c r="L263">
        <v>0.3330181640195693</v>
      </c>
    </row>
    <row r="264" spans="10:12" x14ac:dyDescent="0.2">
      <c r="J264">
        <v>257</v>
      </c>
      <c r="K264">
        <v>5.1554917091323569</v>
      </c>
      <c r="L264">
        <v>0.3314976778452321</v>
      </c>
    </row>
    <row r="265" spans="10:12" x14ac:dyDescent="0.2">
      <c r="J265">
        <v>258</v>
      </c>
      <c r="K265">
        <v>5.156767791786784</v>
      </c>
      <c r="L265">
        <v>0.32998599156219555</v>
      </c>
    </row>
    <row r="266" spans="10:12" x14ac:dyDescent="0.2">
      <c r="J266">
        <v>259</v>
      </c>
      <c r="K266">
        <v>5.1580079166353539</v>
      </c>
      <c r="L266">
        <v>0.32848304952537111</v>
      </c>
    </row>
    <row r="267" spans="10:12" x14ac:dyDescent="0.2">
      <c r="J267">
        <v>260</v>
      </c>
      <c r="K267">
        <v>5.1592124760280917</v>
      </c>
      <c r="L267">
        <v>0.32698879660909147</v>
      </c>
    </row>
    <row r="268" spans="10:12" x14ac:dyDescent="0.2">
      <c r="J268">
        <v>261</v>
      </c>
      <c r="K268">
        <v>5.1603818543440481</v>
      </c>
      <c r="L268">
        <v>0.32550317820196967</v>
      </c>
    </row>
    <row r="269" spans="10:12" x14ac:dyDescent="0.2">
      <c r="J269">
        <v>262</v>
      </c>
      <c r="K269">
        <v>5.1615164281328587</v>
      </c>
      <c r="L269">
        <v>0.32402614020181353</v>
      </c>
    </row>
    <row r="270" spans="10:12" x14ac:dyDescent="0.2">
      <c r="J270">
        <v>263</v>
      </c>
      <c r="K270">
        <v>5.1626165662529981</v>
      </c>
      <c r="L270">
        <v>0.32255762901059853</v>
      </c>
    </row>
    <row r="271" spans="10:12" x14ac:dyDescent="0.2">
      <c r="J271">
        <v>264</v>
      </c>
      <c r="K271">
        <v>5.1636826300069378</v>
      </c>
      <c r="L271">
        <v>0.32109759152949191</v>
      </c>
    </row>
    <row r="272" spans="10:12" x14ac:dyDescent="0.2">
      <c r="J272">
        <v>265</v>
      </c>
      <c r="K272">
        <v>5.164714980865333</v>
      </c>
      <c r="L272">
        <v>0.31964597461801453</v>
      </c>
    </row>
    <row r="273" spans="10:12" x14ac:dyDescent="0.2">
      <c r="J273">
        <v>266</v>
      </c>
      <c r="K273">
        <v>5.1657140032458813</v>
      </c>
      <c r="L273">
        <v>0.31820272349360545</v>
      </c>
    </row>
    <row r="274" spans="10:12" x14ac:dyDescent="0.2">
      <c r="J274">
        <v>267</v>
      </c>
      <c r="K274">
        <v>5.1666800816450218</v>
      </c>
      <c r="L274">
        <v>0.316767783355699</v>
      </c>
    </row>
    <row r="275" spans="10:12" x14ac:dyDescent="0.2">
      <c r="J275">
        <v>268</v>
      </c>
      <c r="K275">
        <v>5.1676135931457337</v>
      </c>
      <c r="L275">
        <v>0.31534109991948089</v>
      </c>
    </row>
    <row r="276" spans="10:12" x14ac:dyDescent="0.2">
      <c r="J276">
        <v>269</v>
      </c>
      <c r="K276">
        <v>5.1685149075466725</v>
      </c>
      <c r="L276">
        <v>0.31392261941071115</v>
      </c>
    </row>
    <row r="277" spans="10:12" x14ac:dyDescent="0.2">
      <c r="J277">
        <v>270</v>
      </c>
      <c r="K277">
        <v>5.1693843874884919</v>
      </c>
      <c r="L277">
        <v>0.31251228856059832</v>
      </c>
    </row>
    <row r="278" spans="10:12" x14ac:dyDescent="0.2">
      <c r="J278">
        <v>271</v>
      </c>
      <c r="K278">
        <v>5.1702223885772378</v>
      </c>
      <c r="L278">
        <v>0.31111005460073815</v>
      </c>
    </row>
    <row r="279" spans="10:12" x14ac:dyDescent="0.2">
      <c r="J279">
        <v>272</v>
      </c>
      <c r="K279">
        <v>5.1710292595051559</v>
      </c>
      <c r="L279">
        <v>0.3097158652580978</v>
      </c>
    </row>
    <row r="280" spans="10:12" x14ac:dyDescent="0.2">
      <c r="J280">
        <v>273</v>
      </c>
      <c r="K280">
        <v>5.1718053421686703</v>
      </c>
      <c r="L280">
        <v>0.30832966875006562</v>
      </c>
    </row>
    <row r="281" spans="10:12" x14ac:dyDescent="0.2">
      <c r="J281">
        <v>274</v>
      </c>
      <c r="K281">
        <v>5.1725509717838802</v>
      </c>
      <c r="L281">
        <v>0.30695141377954788</v>
      </c>
    </row>
    <row r="282" spans="10:12" x14ac:dyDescent="0.2">
      <c r="J282">
        <v>275</v>
      </c>
      <c r="K282">
        <v>5.1732664769994336</v>
      </c>
      <c r="L282">
        <v>0.3055810495301241</v>
      </c>
    </row>
    <row r="283" spans="10:12" x14ac:dyDescent="0.2">
      <c r="J283">
        <v>276</v>
      </c>
      <c r="K283">
        <v>5.173952180007003</v>
      </c>
      <c r="L283">
        <v>0.3042185256612524</v>
      </c>
    </row>
    <row r="284" spans="10:12" x14ac:dyDescent="0.2">
      <c r="J284">
        <v>277</v>
      </c>
      <c r="K284">
        <v>5.1746084059225108</v>
      </c>
      <c r="L284">
        <v>0.30286379165522981</v>
      </c>
    </row>
    <row r="285" spans="10:12" x14ac:dyDescent="0.2">
      <c r="J285">
        <v>278</v>
      </c>
      <c r="K285">
        <v>5.175235510563664</v>
      </c>
      <c r="L285">
        <v>0.30151679488235306</v>
      </c>
    </row>
    <row r="286" spans="10:12" x14ac:dyDescent="0.2">
      <c r="J286">
        <v>279</v>
      </c>
      <c r="K286">
        <v>5.1758338524795802</v>
      </c>
      <c r="L286">
        <v>0.30017748256673538</v>
      </c>
    </row>
    <row r="287" spans="10:12" x14ac:dyDescent="0.2">
      <c r="J287">
        <v>280</v>
      </c>
      <c r="K287">
        <v>5.176403783751212</v>
      </c>
      <c r="L287">
        <v>0.29884580243316111</v>
      </c>
    </row>
    <row r="288" spans="10:12" x14ac:dyDescent="0.2">
      <c r="J288">
        <v>281</v>
      </c>
      <c r="K288">
        <v>5.1769456501001399</v>
      </c>
      <c r="L288">
        <v>0.29752170270197625</v>
      </c>
    </row>
    <row r="289" spans="10:12" x14ac:dyDescent="0.2">
      <c r="J289">
        <v>282</v>
      </c>
      <c r="K289">
        <v>5.1774597909950293</v>
      </c>
      <c r="L289">
        <v>0.29620513208403632</v>
      </c>
    </row>
    <row r="290" spans="10:12" x14ac:dyDescent="0.2">
      <c r="J290">
        <v>283</v>
      </c>
      <c r="K290">
        <v>5.1779465397558182</v>
      </c>
      <c r="L290">
        <v>0.29489603977570972</v>
      </c>
    </row>
    <row r="291" spans="10:12" x14ac:dyDescent="0.2">
      <c r="J291">
        <v>284</v>
      </c>
      <c r="K291">
        <v>5.1784062236557089</v>
      </c>
      <c r="L291">
        <v>0.29359437545393668</v>
      </c>
    </row>
    <row r="292" spans="10:12" x14ac:dyDescent="0.2">
      <c r="J292">
        <v>285</v>
      </c>
      <c r="K292">
        <v>5.1788391640209959</v>
      </c>
      <c r="L292">
        <v>0.2923000892713421</v>
      </c>
    </row>
    <row r="293" spans="10:12" x14ac:dyDescent="0.2">
      <c r="J293">
        <v>286</v>
      </c>
      <c r="K293">
        <v>5.1792456763288408</v>
      </c>
      <c r="L293">
        <v>0.29101313185140004</v>
      </c>
    </row>
    <row r="294" spans="10:12" x14ac:dyDescent="0.2">
      <c r="J294">
        <v>287</v>
      </c>
      <c r="K294">
        <v>5.1796260703028913</v>
      </c>
      <c r="L294">
        <v>0.28973345428365804</v>
      </c>
    </row>
    <row r="295" spans="10:12" x14ac:dyDescent="0.2">
      <c r="J295">
        <v>288</v>
      </c>
      <c r="K295">
        <v>5.1799806500070549</v>
      </c>
      <c r="L295">
        <v>0.2884610081190041</v>
      </c>
    </row>
    <row r="296" spans="10:12" x14ac:dyDescent="0.2">
      <c r="J296">
        <v>289</v>
      </c>
      <c r="K296">
        <v>5.1803096887824491</v>
      </c>
      <c r="L296">
        <v>0.28719574710485424</v>
      </c>
    </row>
    <row r="297" spans="10:12" x14ac:dyDescent="0.2">
      <c r="J297">
        <v>290</v>
      </c>
      <c r="K297">
        <v>5.1806133542575656</v>
      </c>
      <c r="L297">
        <v>0.28593763236051412</v>
      </c>
    </row>
    <row r="298" spans="10:12" x14ac:dyDescent="0.2">
      <c r="J298">
        <v>291</v>
      </c>
      <c r="K298">
        <v>5.1808917845616893</v>
      </c>
      <c r="L298">
        <v>0.28468662708445491</v>
      </c>
    </row>
    <row r="299" spans="10:12" x14ac:dyDescent="0.2">
      <c r="J299">
        <v>292</v>
      </c>
      <c r="K299">
        <v>5.1811451136379594</v>
      </c>
      <c r="L299">
        <v>0.28344269480151429</v>
      </c>
    </row>
    <row r="300" spans="10:12" x14ac:dyDescent="0.2">
      <c r="J300">
        <v>293</v>
      </c>
      <c r="K300">
        <v>5.1813734713031376</v>
      </c>
      <c r="L300">
        <v>0.28220579935996098</v>
      </c>
    </row>
    <row r="301" spans="10:12" x14ac:dyDescent="0.2">
      <c r="J301">
        <v>294</v>
      </c>
      <c r="K301">
        <v>5.1815769833060861</v>
      </c>
      <c r="L301">
        <v>0.28097590492859659</v>
      </c>
    </row>
    <row r="302" spans="10:12" x14ac:dyDescent="0.2">
      <c r="J302">
        <v>295</v>
      </c>
      <c r="K302">
        <v>5.1817557713851192</v>
      </c>
      <c r="L302">
        <v>0.27975297599388443</v>
      </c>
    </row>
    <row r="303" spans="10:12" x14ac:dyDescent="0.2">
      <c r="J303">
        <v>296</v>
      </c>
      <c r="K303">
        <v>5.1819099533241477</v>
      </c>
      <c r="L303">
        <v>0.27853697735711525</v>
      </c>
    </row>
    <row r="304" spans="10:12" x14ac:dyDescent="0.2">
      <c r="J304">
        <v>297</v>
      </c>
      <c r="K304">
        <v>5.1820396430077631</v>
      </c>
      <c r="L304">
        <v>0.27732787413159893</v>
      </c>
    </row>
    <row r="305" spans="10:12" x14ac:dyDescent="0.2">
      <c r="J305">
        <v>298</v>
      </c>
      <c r="K305">
        <v>5.1821449504751254</v>
      </c>
      <c r="L305">
        <v>0.27612563173989402</v>
      </c>
    </row>
    <row r="306" spans="10:12" x14ac:dyDescent="0.2">
      <c r="J306">
        <v>299</v>
      </c>
      <c r="K306">
        <v>5.1822259819729064</v>
      </c>
      <c r="L306">
        <v>0.27493021591106004</v>
      </c>
    </row>
    <row r="307" spans="10:12" x14ac:dyDescent="0.2">
      <c r="J307">
        <v>300</v>
      </c>
      <c r="K307">
        <v>5.1822828400070842</v>
      </c>
      <c r="L307">
        <v>0.27374159267794729</v>
      </c>
    </row>
    <row r="308" spans="10:12" x14ac:dyDescent="0.2">
      <c r="J308">
        <v>301</v>
      </c>
      <c r="K308">
        <v>5.18231564952442</v>
      </c>
      <c r="L308">
        <v>0.27255972658803751</v>
      </c>
    </row>
    <row r="309" spans="10:12" x14ac:dyDescent="0.2">
      <c r="J309">
        <v>302</v>
      </c>
      <c r="K309">
        <v>5.1823246359691222</v>
      </c>
      <c r="L309">
        <v>0.27138457538200933</v>
      </c>
    </row>
    <row r="310" spans="10:12" x14ac:dyDescent="0.2">
      <c r="J310">
        <v>303</v>
      </c>
      <c r="K310">
        <v>5.1823100462764682</v>
      </c>
      <c r="L310">
        <v>0.27021609542095781</v>
      </c>
    </row>
    <row r="311" spans="10:12" x14ac:dyDescent="0.2">
      <c r="J311">
        <v>304</v>
      </c>
      <c r="K311">
        <v>5.1822721227163226</v>
      </c>
      <c r="L311">
        <v>0.26905424347891804</v>
      </c>
    </row>
    <row r="312" spans="10:12" x14ac:dyDescent="0.2">
      <c r="J312">
        <v>305</v>
      </c>
      <c r="K312">
        <v>5.1822111029633255</v>
      </c>
      <c r="L312">
        <v>0.26789897673872137</v>
      </c>
    </row>
    <row r="313" spans="10:12" x14ac:dyDescent="0.2">
      <c r="J313">
        <v>306</v>
      </c>
      <c r="K313">
        <v>5.1821272201657713</v>
      </c>
      <c r="L313">
        <v>0.26675025278789199</v>
      </c>
    </row>
    <row r="314" spans="10:12" x14ac:dyDescent="0.2">
      <c r="J314">
        <v>307</v>
      </c>
      <c r="K314">
        <v>5.1820207030131016</v>
      </c>
      <c r="L314">
        <v>0.26560802961459196</v>
      </c>
    </row>
    <row r="315" spans="10:12" x14ac:dyDescent="0.2">
      <c r="J315">
        <v>308</v>
      </c>
      <c r="K315">
        <v>5.1818917758020699</v>
      </c>
      <c r="L315">
        <v>0.26447226560361081</v>
      </c>
    </row>
    <row r="316" spans="10:12" x14ac:dyDescent="0.2">
      <c r="J316">
        <v>309</v>
      </c>
      <c r="K316">
        <v>5.1817406585016528</v>
      </c>
      <c r="L316">
        <v>0.26334291953239802</v>
      </c>
    </row>
    <row r="317" spans="10:12" x14ac:dyDescent="0.2">
      <c r="J317">
        <v>310</v>
      </c>
      <c r="K317">
        <v>5.1815675668166632</v>
      </c>
      <c r="L317">
        <v>0.2622199505671407</v>
      </c>
    </row>
    <row r="318" spans="10:12" x14ac:dyDescent="0.2">
      <c r="J318">
        <v>311</v>
      </c>
      <c r="K318">
        <v>5.1813727122501616</v>
      </c>
      <c r="L318">
        <v>0.26110331825888333</v>
      </c>
    </row>
    <row r="319" spans="10:12" x14ac:dyDescent="0.2">
      <c r="J319">
        <v>312</v>
      </c>
      <c r="K319">
        <v>5.1811563021646432</v>
      </c>
      <c r="L319">
        <v>0.25999298253969166</v>
      </c>
    </row>
    <row r="320" spans="10:12" x14ac:dyDescent="0.2">
      <c r="J320">
        <v>313</v>
      </c>
      <c r="K320">
        <v>5.1809185398420672</v>
      </c>
      <c r="L320">
        <v>0.2588889037188572</v>
      </c>
    </row>
    <row r="321" spans="10:12" x14ac:dyDescent="0.2">
      <c r="J321">
        <v>314</v>
      </c>
      <c r="K321">
        <v>5.180659624542697</v>
      </c>
      <c r="L321">
        <v>0.25779104247914642</v>
      </c>
    </row>
    <row r="322" spans="10:12" x14ac:dyDescent="0.2">
      <c r="J322">
        <v>315</v>
      </c>
      <c r="K322">
        <v>5.1803797515628753</v>
      </c>
      <c r="L322">
        <v>0.25669935987308762</v>
      </c>
    </row>
    <row r="323" spans="10:12" x14ac:dyDescent="0.2">
      <c r="J323">
        <v>316</v>
      </c>
      <c r="K323">
        <v>5.1800791122916365</v>
      </c>
      <c r="L323">
        <v>0.25561381731930233</v>
      </c>
    </row>
    <row r="324" spans="10:12" x14ac:dyDescent="0.2">
      <c r="J324">
        <v>317</v>
      </c>
      <c r="K324">
        <v>5.1797578942662872</v>
      </c>
      <c r="L324">
        <v>0.25453437659887473</v>
      </c>
    </row>
    <row r="325" spans="10:12" x14ac:dyDescent="0.2">
      <c r="J325">
        <v>318</v>
      </c>
      <c r="K325">
        <v>5.1794162812269189</v>
      </c>
      <c r="L325">
        <v>0.25346099985176218</v>
      </c>
    </row>
    <row r="326" spans="10:12" x14ac:dyDescent="0.2">
      <c r="J326">
        <v>319</v>
      </c>
      <c r="K326">
        <v>5.1790544531698588</v>
      </c>
      <c r="L326">
        <v>0.25239364957324695</v>
      </c>
    </row>
    <row r="327" spans="10:12" x14ac:dyDescent="0.2">
      <c r="J327">
        <v>320</v>
      </c>
      <c r="K327">
        <v>5.1786725864001903</v>
      </c>
      <c r="L327">
        <v>0.25133228861042317</v>
      </c>
    </row>
    <row r="328" spans="10:12" x14ac:dyDescent="0.2">
      <c r="J328">
        <v>321</v>
      </c>
      <c r="K328">
        <v>5.1782708535832125</v>
      </c>
      <c r="L328">
        <v>0.25027688015872662</v>
      </c>
    </row>
    <row r="329" spans="10:12" x14ac:dyDescent="0.2">
      <c r="J329">
        <v>322</v>
      </c>
      <c r="K329">
        <v>5.1778494237949868</v>
      </c>
      <c r="L329">
        <v>0.24922738775849995</v>
      </c>
    </row>
    <row r="330" spans="10:12" x14ac:dyDescent="0.2">
      <c r="J330">
        <v>323</v>
      </c>
      <c r="K330">
        <v>5.1774084625718926</v>
      </c>
      <c r="L330">
        <v>0.24818377529159935</v>
      </c>
    </row>
    <row r="331" spans="10:12" x14ac:dyDescent="0.2">
      <c r="J331">
        <v>324</v>
      </c>
      <c r="K331">
        <v>5.1769481319593291</v>
      </c>
      <c r="L331">
        <v>0.24714600697803354</v>
      </c>
    </row>
    <row r="332" spans="10:12" x14ac:dyDescent="0.2">
      <c r="J332">
        <v>325</v>
      </c>
      <c r="K332">
        <v>5.1764685905594359</v>
      </c>
      <c r="L332">
        <v>0.24611404737264597</v>
      </c>
    </row>
    <row r="333" spans="10:12" x14ac:dyDescent="0.2">
      <c r="J333">
        <v>326</v>
      </c>
      <c r="K333">
        <v>5.1759699935780237</v>
      </c>
      <c r="L333">
        <v>0.24508786136182698</v>
      </c>
    </row>
    <row r="334" spans="10:12" x14ac:dyDescent="0.2">
      <c r="J334">
        <v>327</v>
      </c>
      <c r="K334">
        <v>5.1754524928705319</v>
      </c>
      <c r="L334">
        <v>0.24406741416026986</v>
      </c>
    </row>
    <row r="335" spans="10:12" x14ac:dyDescent="0.2">
      <c r="J335">
        <v>328</v>
      </c>
      <c r="K335">
        <v>5.1749162369872375</v>
      </c>
      <c r="L335">
        <v>0.24305267130775654</v>
      </c>
    </row>
    <row r="336" spans="10:12" x14ac:dyDescent="0.2">
      <c r="J336">
        <v>329</v>
      </c>
      <c r="K336">
        <v>5.1743613712176142</v>
      </c>
      <c r="L336">
        <v>0.24204359866598038</v>
      </c>
    </row>
    <row r="337" spans="10:12" x14ac:dyDescent="0.2">
      <c r="J337">
        <v>330</v>
      </c>
      <c r="K337">
        <v>5.1737880376338135</v>
      </c>
      <c r="L337">
        <v>0.24104016241540815</v>
      </c>
    </row>
    <row r="338" spans="10:12" x14ac:dyDescent="0.2">
      <c r="J338">
        <v>331</v>
      </c>
      <c r="K338">
        <v>5.1731963751334797</v>
      </c>
      <c r="L338">
        <v>0.24004232905216949</v>
      </c>
    </row>
    <row r="339" spans="10:12" x14ac:dyDescent="0.2">
      <c r="J339">
        <v>332</v>
      </c>
      <c r="K339">
        <v>5.1725865194816656</v>
      </c>
      <c r="L339">
        <v>0.23905006538498816</v>
      </c>
    </row>
    <row r="340" spans="10:12" x14ac:dyDescent="0.2">
      <c r="J340">
        <v>333</v>
      </c>
      <c r="K340">
        <v>5.1719586033520937</v>
      </c>
      <c r="L340">
        <v>0.23806333853214112</v>
      </c>
    </row>
    <row r="341" spans="10:12" x14ac:dyDescent="0.2">
      <c r="J341">
        <v>334</v>
      </c>
      <c r="K341">
        <v>5.1713127563676045</v>
      </c>
      <c r="L341">
        <v>0.23708211591845541</v>
      </c>
    </row>
    <row r="342" spans="10:12" x14ac:dyDescent="0.2">
      <c r="J342">
        <v>335</v>
      </c>
      <c r="K342">
        <v>5.1706491051398915</v>
      </c>
      <c r="L342">
        <v>0.23610636527233803</v>
      </c>
    </row>
    <row r="343" spans="10:12" x14ac:dyDescent="0.2">
      <c r="J343">
        <v>336</v>
      </c>
      <c r="K343">
        <v>5.1699677733086</v>
      </c>
      <c r="L343">
        <v>0.23513605462283352</v>
      </c>
    </row>
    <row r="344" spans="10:12" x14ac:dyDescent="0.2">
      <c r="J344">
        <v>337</v>
      </c>
      <c r="K344">
        <v>5.1692688815796011</v>
      </c>
      <c r="L344">
        <v>0.23417115229672297</v>
      </c>
    </row>
    <row r="345" spans="10:12" x14ac:dyDescent="0.2">
      <c r="J345">
        <v>338</v>
      </c>
      <c r="K345">
        <v>5.1685525477627063</v>
      </c>
      <c r="L345">
        <v>0.2332116269156469</v>
      </c>
    </row>
    <row r="346" spans="10:12" x14ac:dyDescent="0.2">
      <c r="J346">
        <v>339</v>
      </c>
      <c r="K346">
        <v>5.1678188868086554</v>
      </c>
      <c r="L346">
        <v>0.23225744739326437</v>
      </c>
    </row>
    <row r="347" spans="10:12" x14ac:dyDescent="0.2">
      <c r="J347">
        <v>340</v>
      </c>
      <c r="K347">
        <v>5.1670680108454432</v>
      </c>
      <c r="L347">
        <v>0.23130858293244413</v>
      </c>
    </row>
    <row r="348" spans="10:12" x14ac:dyDescent="0.2">
      <c r="J348">
        <v>341</v>
      </c>
      <c r="K348">
        <v>5.1663000292140788</v>
      </c>
      <c r="L348">
        <v>0.23036500302248236</v>
      </c>
    </row>
    <row r="349" spans="10:12" x14ac:dyDescent="0.2">
      <c r="J349">
        <v>342</v>
      </c>
      <c r="K349">
        <v>5.1655150485036456</v>
      </c>
      <c r="L349">
        <v>0.22942667743635631</v>
      </c>
    </row>
    <row r="350" spans="10:12" x14ac:dyDescent="0.2">
      <c r="J350">
        <v>343</v>
      </c>
      <c r="K350">
        <v>5.164713172585758</v>
      </c>
      <c r="L350">
        <v>0.22849357622800759</v>
      </c>
    </row>
    <row r="351" spans="10:12" x14ac:dyDescent="0.2">
      <c r="J351">
        <v>344</v>
      </c>
      <c r="K351">
        <v>5.1638945026484961</v>
      </c>
      <c r="L351">
        <v>0.22756566972965098</v>
      </c>
    </row>
    <row r="352" spans="10:12" x14ac:dyDescent="0.2">
      <c r="J352">
        <v>345</v>
      </c>
      <c r="K352">
        <v>5.1630591372296735</v>
      </c>
      <c r="L352">
        <v>0.22664292854911861</v>
      </c>
    </row>
    <row r="353" spans="10:12" x14ac:dyDescent="0.2">
      <c r="J353">
        <v>346</v>
      </c>
      <c r="K353">
        <v>5.1622071722495706</v>
      </c>
      <c r="L353">
        <v>0.22572532356723077</v>
      </c>
    </row>
    <row r="354" spans="10:12" x14ac:dyDescent="0.2">
      <c r="J354">
        <v>347</v>
      </c>
      <c r="K354">
        <v>5.1613387010430776</v>
      </c>
      <c r="L354">
        <v>0.22481282593519825</v>
      </c>
    </row>
    <row r="355" spans="10:12" x14ac:dyDescent="0.2">
      <c r="J355">
        <v>348</v>
      </c>
      <c r="K355">
        <v>5.160453814391361</v>
      </c>
      <c r="L355">
        <v>0.22390540707204865</v>
      </c>
    </row>
    <row r="356" spans="10:12" x14ac:dyDescent="0.2">
      <c r="J356">
        <v>349</v>
      </c>
      <c r="K356">
        <v>5.1595526005528951</v>
      </c>
      <c r="L356">
        <v>0.22300303866208759</v>
      </c>
    </row>
    <row r="357" spans="10:12" x14ac:dyDescent="0.2">
      <c r="J357">
        <v>350</v>
      </c>
      <c r="K357">
        <v>5.1586351452940633</v>
      </c>
      <c r="L357">
        <v>0.2221056926523825</v>
      </c>
    </row>
    <row r="358" spans="10:12" x14ac:dyDescent="0.2">
      <c r="J358">
        <v>351</v>
      </c>
      <c r="K358">
        <v>5.157701531919173</v>
      </c>
      <c r="L358">
        <v>0.22121334125027858</v>
      </c>
    </row>
    <row r="359" spans="10:12" x14ac:dyDescent="0.2">
      <c r="J359">
        <v>352</v>
      </c>
      <c r="K359">
        <v>5.1567518413000117</v>
      </c>
      <c r="L359">
        <v>0.2203259569209397</v>
      </c>
    </row>
    <row r="360" spans="10:12" x14ac:dyDescent="0.2">
      <c r="J360">
        <v>353</v>
      </c>
      <c r="K360">
        <v>5.1557861519048922</v>
      </c>
      <c r="L360">
        <v>0.2194435123849178</v>
      </c>
    </row>
    <row r="361" spans="10:12" x14ac:dyDescent="0.2">
      <c r="J361">
        <v>354</v>
      </c>
      <c r="K361">
        <v>5.1548045398272286</v>
      </c>
      <c r="L361">
        <v>0.21856598061574894</v>
      </c>
    </row>
    <row r="362" spans="10:12" x14ac:dyDescent="0.2">
      <c r="J362">
        <v>355</v>
      </c>
      <c r="K362">
        <v>5.1538070788136396</v>
      </c>
      <c r="L362">
        <v>0.21769333483757575</v>
      </c>
    </row>
    <row r="363" spans="10:12" x14ac:dyDescent="0.2">
      <c r="J363">
        <v>356</v>
      </c>
      <c r="K363">
        <v>5.1527938402915678</v>
      </c>
      <c r="L363">
        <v>0.21682554852279773</v>
      </c>
    </row>
    <row r="364" spans="10:12" x14ac:dyDescent="0.2">
      <c r="J364">
        <v>357</v>
      </c>
      <c r="K364">
        <v>5.1517648933964821</v>
      </c>
      <c r="L364">
        <v>0.21596259538974666</v>
      </c>
    </row>
    <row r="365" spans="10:12" x14ac:dyDescent="0.2">
      <c r="J365">
        <v>358</v>
      </c>
      <c r="K365">
        <v>5.1507203049986447</v>
      </c>
      <c r="L365">
        <v>0.21510444940038551</v>
      </c>
    </row>
    <row r="366" spans="10:12" x14ac:dyDescent="0.2">
      <c r="J366">
        <v>359</v>
      </c>
      <c r="K366">
        <v>5.1496601397293791</v>
      </c>
      <c r="L366">
        <v>0.21425108475803953</v>
      </c>
    </row>
    <row r="367" spans="10:12" x14ac:dyDescent="0.2">
      <c r="J367">
        <v>360</v>
      </c>
      <c r="K367">
        <v>5.1485844600070152</v>
      </c>
      <c r="L367">
        <v>0.21340247590514461</v>
      </c>
    </row>
    <row r="368" spans="10:12" x14ac:dyDescent="0.2">
      <c r="J368">
        <v>361</v>
      </c>
      <c r="K368">
        <v>5.1474932996714626</v>
      </c>
      <c r="L368">
        <v>0.21255859920858391</v>
      </c>
    </row>
    <row r="369" spans="10:12" x14ac:dyDescent="0.2">
      <c r="J369">
        <v>362</v>
      </c>
      <c r="K369">
        <v>5.1463865851865886</v>
      </c>
      <c r="L369">
        <v>0.21171943798176213</v>
      </c>
    </row>
    <row r="370" spans="10:12" x14ac:dyDescent="0.2">
      <c r="J370">
        <v>363</v>
      </c>
      <c r="K370">
        <v>5.145264215442249</v>
      </c>
      <c r="L370">
        <v>0.21088497735324588</v>
      </c>
    </row>
    <row r="371" spans="10:12" x14ac:dyDescent="0.2">
      <c r="J371">
        <v>364</v>
      </c>
      <c r="K371">
        <v>5.1441260882409363</v>
      </c>
      <c r="L371">
        <v>0.21005520256889385</v>
      </c>
    </row>
    <row r="372" spans="10:12" x14ac:dyDescent="0.2">
      <c r="J372">
        <v>365</v>
      </c>
      <c r="K372">
        <v>5.1429721003052826</v>
      </c>
      <c r="L372">
        <v>0.20923009899122519</v>
      </c>
    </row>
    <row r="373" spans="10:12" x14ac:dyDescent="0.2">
      <c r="J373">
        <v>366</v>
      </c>
      <c r="K373">
        <v>5.141802147285647</v>
      </c>
      <c r="L373">
        <v>0.20840965209879211</v>
      </c>
    </row>
    <row r="374" spans="10:12" x14ac:dyDescent="0.2">
      <c r="J374">
        <v>367</v>
      </c>
      <c r="K374">
        <v>5.1406161237676464</v>
      </c>
      <c r="L374">
        <v>0.20759384748556708</v>
      </c>
    </row>
    <row r="375" spans="10:12" x14ac:dyDescent="0.2">
      <c r="J375">
        <v>368</v>
      </c>
      <c r="K375">
        <v>5.1394139232798519</v>
      </c>
      <c r="L375">
        <v>0.20678267086032975</v>
      </c>
    </row>
    <row r="376" spans="10:12" x14ac:dyDescent="0.2">
      <c r="J376">
        <v>369</v>
      </c>
      <c r="K376">
        <v>5.1381954383014445</v>
      </c>
      <c r="L376">
        <v>0.20597610804606736</v>
      </c>
    </row>
    <row r="377" spans="10:12" x14ac:dyDescent="0.2">
      <c r="J377">
        <v>370</v>
      </c>
      <c r="K377">
        <v>5.1369605602700128</v>
      </c>
      <c r="L377">
        <v>0.20517414497937736</v>
      </c>
    </row>
    <row r="378" spans="10:12" x14ac:dyDescent="0.2">
      <c r="J378">
        <v>371</v>
      </c>
      <c r="K378">
        <v>5.135709179589373</v>
      </c>
      <c r="L378">
        <v>0.20437676770987964</v>
      </c>
    </row>
    <row r="379" spans="10:12" x14ac:dyDescent="0.2">
      <c r="J379">
        <v>372</v>
      </c>
      <c r="K379">
        <v>5.1344411856374306</v>
      </c>
      <c r="L379">
        <v>0.20358396239963777</v>
      </c>
    </row>
    <row r="380" spans="10:12" x14ac:dyDescent="0.2">
      <c r="J380">
        <v>373</v>
      </c>
      <c r="K380">
        <v>5.1331564667742011</v>
      </c>
      <c r="L380">
        <v>0.20279571532258189</v>
      </c>
    </row>
    <row r="381" spans="10:12" x14ac:dyDescent="0.2">
      <c r="J381">
        <v>374</v>
      </c>
      <c r="K381">
        <v>5.1318549103498272</v>
      </c>
      <c r="L381">
        <v>0.20201201286394377</v>
      </c>
    </row>
    <row r="382" spans="10:12" x14ac:dyDescent="0.2">
      <c r="J382">
        <v>375</v>
      </c>
      <c r="K382">
        <v>5.1305364027127389</v>
      </c>
      <c r="L382">
        <v>0.20123284151969489</v>
      </c>
    </row>
    <row r="383" spans="10:12" x14ac:dyDescent="0.2">
      <c r="J383">
        <v>376</v>
      </c>
      <c r="K383">
        <v>5.1292008292178526</v>
      </c>
      <c r="L383">
        <v>0.20045818789599451</v>
      </c>
    </row>
    <row r="384" spans="10:12" x14ac:dyDescent="0.2">
      <c r="J384">
        <v>377</v>
      </c>
      <c r="K384">
        <v>5.1278480742349144</v>
      </c>
      <c r="L384">
        <v>0.19968803870864113</v>
      </c>
    </row>
    <row r="385" spans="10:12" x14ac:dyDescent="0.2">
      <c r="J385">
        <v>378</v>
      </c>
      <c r="K385">
        <v>5.1264780211568857</v>
      </c>
      <c r="L385">
        <v>0.19892238078253432</v>
      </c>
    </row>
    <row r="386" spans="10:12" x14ac:dyDescent="0.2">
      <c r="J386">
        <v>379</v>
      </c>
      <c r="K386">
        <v>5.125090552408496</v>
      </c>
      <c r="L386">
        <v>0.19816120105113882</v>
      </c>
    </row>
    <row r="387" spans="10:12" x14ac:dyDescent="0.2">
      <c r="J387">
        <v>380</v>
      </c>
      <c r="K387">
        <v>5.1236855494548132</v>
      </c>
      <c r="L387">
        <v>0.1974044865559606</v>
      </c>
    </row>
    <row r="388" spans="10:12" x14ac:dyDescent="0.2">
      <c r="J388">
        <v>381</v>
      </c>
      <c r="K388">
        <v>5.1222628928100349</v>
      </c>
      <c r="L388">
        <v>0.19665222444602309</v>
      </c>
    </row>
    <row r="389" spans="10:12" x14ac:dyDescent="0.2">
      <c r="J389">
        <v>382</v>
      </c>
      <c r="K389">
        <v>5.1208224620462772</v>
      </c>
      <c r="L389">
        <v>0.19590440197735642</v>
      </c>
    </row>
    <row r="390" spans="10:12" x14ac:dyDescent="0.2">
      <c r="J390">
        <v>383</v>
      </c>
      <c r="K390">
        <v>5.1193641358025932</v>
      </c>
      <c r="L390">
        <v>0.19516100651248636</v>
      </c>
    </row>
    <row r="391" spans="10:12" x14ac:dyDescent="0.2">
      <c r="J391">
        <v>384</v>
      </c>
      <c r="K391">
        <v>5.1178877917940264</v>
      </c>
      <c r="L391">
        <v>0.19442202551993587</v>
      </c>
    </row>
    <row r="392" spans="10:12" x14ac:dyDescent="0.2">
      <c r="J392">
        <v>385</v>
      </c>
      <c r="K392">
        <v>5.1163933068208438</v>
      </c>
      <c r="L392">
        <v>0.19368744657372822</v>
      </c>
    </row>
    <row r="393" spans="10:12" x14ac:dyDescent="0.2">
      <c r="J393">
        <v>386</v>
      </c>
      <c r="K393">
        <v>5.1148805567778837</v>
      </c>
      <c r="L393">
        <v>0.19295725735289881</v>
      </c>
    </row>
    <row r="394" spans="10:12" x14ac:dyDescent="0.2">
      <c r="J394">
        <v>387</v>
      </c>
      <c r="K394">
        <v>5.1133494166640547</v>
      </c>
      <c r="L394">
        <v>0.19223144564101124</v>
      </c>
    </row>
    <row r="395" spans="10:12" x14ac:dyDescent="0.2">
      <c r="J395">
        <v>388</v>
      </c>
      <c r="K395">
        <v>5.1117997605919152</v>
      </c>
      <c r="L395">
        <v>0.19150999932568363</v>
      </c>
    </row>
    <row r="396" spans="10:12" x14ac:dyDescent="0.2">
      <c r="J396">
        <v>389</v>
      </c>
      <c r="K396">
        <v>5.1102314617975191</v>
      </c>
      <c r="L396">
        <v>0.19079290639811369</v>
      </c>
    </row>
    <row r="397" spans="10:12" x14ac:dyDescent="0.2">
      <c r="J397">
        <v>390</v>
      </c>
      <c r="K397">
        <v>5.1086443926502589</v>
      </c>
      <c r="L397">
        <v>0.19008015495261826</v>
      </c>
    </row>
    <row r="398" spans="10:12" x14ac:dyDescent="0.2">
      <c r="J398">
        <v>391</v>
      </c>
      <c r="K398">
        <v>5.1070384246630107</v>
      </c>
      <c r="L398">
        <v>0.18937173318617057</v>
      </c>
    </row>
    <row r="399" spans="10:12" x14ac:dyDescent="0.2">
      <c r="J399">
        <v>392</v>
      </c>
      <c r="K399">
        <v>5.1054134285023061</v>
      </c>
      <c r="L399">
        <v>0.18866762939795134</v>
      </c>
    </row>
    <row r="400" spans="10:12" x14ac:dyDescent="0.2">
      <c r="J400">
        <v>393</v>
      </c>
      <c r="K400">
        <v>5.1037692739987524</v>
      </c>
      <c r="L400">
        <v>0.18796783198889908</v>
      </c>
    </row>
    <row r="401" spans="10:12" x14ac:dyDescent="0.2">
      <c r="J401">
        <v>394</v>
      </c>
      <c r="K401">
        <v>5.1021058301575914</v>
      </c>
      <c r="L401">
        <v>0.18727232946126959</v>
      </c>
    </row>
    <row r="402" spans="10:12" x14ac:dyDescent="0.2">
      <c r="J402">
        <v>395</v>
      </c>
      <c r="K402">
        <v>5.1004229651694217</v>
      </c>
      <c r="L402">
        <v>0.18658111041820069</v>
      </c>
    </row>
    <row r="403" spans="10:12" x14ac:dyDescent="0.2">
      <c r="J403">
        <v>396</v>
      </c>
      <c r="K403">
        <v>5.0987205464210907</v>
      </c>
      <c r="L403">
        <v>0.18589416356328234</v>
      </c>
    </row>
    <row r="404" spans="10:12" x14ac:dyDescent="0.2">
      <c r="J404">
        <v>397</v>
      </c>
      <c r="K404">
        <v>5.0969984405067734</v>
      </c>
      <c r="L404">
        <v>0.18521147770013294</v>
      </c>
    </row>
    <row r="405" spans="10:12" x14ac:dyDescent="0.2">
      <c r="J405">
        <v>398</v>
      </c>
      <c r="K405">
        <v>5.09525651323926</v>
      </c>
      <c r="L405">
        <v>0.18453304173197882</v>
      </c>
    </row>
    <row r="406" spans="10:12" x14ac:dyDescent="0.2">
      <c r="J406">
        <v>399</v>
      </c>
      <c r="K406">
        <v>5.0934946296613566</v>
      </c>
      <c r="L406">
        <v>0.18385884466124364</v>
      </c>
    </row>
    <row r="407" spans="10:12" x14ac:dyDescent="0.2">
      <c r="J407">
        <v>400</v>
      </c>
      <c r="K407">
        <v>5.0917126540575408</v>
      </c>
      <c r="L407">
        <v>0.18318887558913971</v>
      </c>
    </row>
    <row r="408" spans="10:12" x14ac:dyDescent="0.2">
      <c r="J408">
        <v>401</v>
      </c>
      <c r="K408">
        <v>5.0899104499657808</v>
      </c>
      <c r="L408">
        <v>0.18252312371526613</v>
      </c>
    </row>
    <row r="409" spans="10:12" x14ac:dyDescent="0.2">
      <c r="J409">
        <v>402</v>
      </c>
      <c r="K409">
        <v>5.0880878801895904</v>
      </c>
      <c r="L409">
        <v>0.1818615783372102</v>
      </c>
    </row>
    <row r="410" spans="10:12" x14ac:dyDescent="0.2">
      <c r="J410">
        <v>403</v>
      </c>
      <c r="K410">
        <v>5.0862448068101926</v>
      </c>
      <c r="L410">
        <v>0.18120422885015941</v>
      </c>
    </row>
    <row r="411" spans="10:12" x14ac:dyDescent="0.2">
      <c r="J411">
        <v>404</v>
      </c>
      <c r="K411">
        <v>5.0843810911989866</v>
      </c>
      <c r="L411">
        <v>0.18055106474651356</v>
      </c>
    </row>
    <row r="412" spans="10:12" x14ac:dyDescent="0.2">
      <c r="J412">
        <v>405</v>
      </c>
      <c r="K412">
        <v>5.082496594030177</v>
      </c>
      <c r="L412">
        <v>0.17990207561550337</v>
      </c>
    </row>
    <row r="413" spans="10:12" x14ac:dyDescent="0.2">
      <c r="J413">
        <v>406</v>
      </c>
      <c r="K413">
        <v>5.0805911752936295</v>
      </c>
      <c r="L413">
        <v>0.17925725114281532</v>
      </c>
    </row>
    <row r="414" spans="10:12" x14ac:dyDescent="0.2">
      <c r="J414">
        <v>407</v>
      </c>
      <c r="K414">
        <v>5.0786646943078999</v>
      </c>
      <c r="L414">
        <v>0.1786165811102228</v>
      </c>
    </row>
    <row r="415" spans="10:12" x14ac:dyDescent="0.2">
      <c r="J415">
        <v>408</v>
      </c>
      <c r="K415">
        <v>5.0767170097335494</v>
      </c>
      <c r="L415">
        <v>0.17798005539521825</v>
      </c>
    </row>
    <row r="416" spans="10:12" x14ac:dyDescent="0.2">
      <c r="J416">
        <v>409</v>
      </c>
      <c r="K416">
        <v>5.0747479795866166</v>
      </c>
      <c r="L416">
        <v>0.17734766397065577</v>
      </c>
    </row>
    <row r="417" spans="10:12" x14ac:dyDescent="0.2">
      <c r="J417">
        <v>410</v>
      </c>
      <c r="K417">
        <v>5.0727574612523858</v>
      </c>
      <c r="L417">
        <v>0.17671939690439264</v>
      </c>
    </row>
    <row r="418" spans="10:12" x14ac:dyDescent="0.2">
      <c r="J418">
        <v>411</v>
      </c>
      <c r="K418">
        <v>5.0707453114992935</v>
      </c>
      <c r="L418">
        <v>0.17609524435894267</v>
      </c>
    </row>
    <row r="419" spans="10:12" x14ac:dyDescent="0.2">
      <c r="J419">
        <v>412</v>
      </c>
      <c r="K419">
        <v>5.0687113864931455</v>
      </c>
      <c r="L419">
        <v>0.17547519659112915</v>
      </c>
    </row>
    <row r="420" spans="10:12" x14ac:dyDescent="0.2">
      <c r="J420">
        <v>413</v>
      </c>
      <c r="K420">
        <v>5.0666555418115431</v>
      </c>
      <c r="L420">
        <v>0.17485924395174454</v>
      </c>
    </row>
    <row r="421" spans="10:12" x14ac:dyDescent="0.2">
      <c r="J421">
        <v>414</v>
      </c>
      <c r="K421">
        <v>5.064577632458513</v>
      </c>
      <c r="L421">
        <v>0.17424737688521696</v>
      </c>
    </row>
    <row r="422" spans="10:12" x14ac:dyDescent="0.2">
      <c r="J422">
        <v>415</v>
      </c>
      <c r="K422">
        <v>5.0624775128794663</v>
      </c>
      <c r="L422">
        <v>0.17363958592927653</v>
      </c>
    </row>
    <row r="423" spans="10:12" x14ac:dyDescent="0.2">
      <c r="J423">
        <v>416</v>
      </c>
      <c r="K423">
        <v>5.0603550369762846</v>
      </c>
      <c r="L423">
        <v>0.1730358617146332</v>
      </c>
    </row>
    <row r="424" spans="10:12" x14ac:dyDescent="0.2">
      <c r="J424">
        <v>417</v>
      </c>
      <c r="K424">
        <v>5.0582100581227554</v>
      </c>
      <c r="L424">
        <v>0.17243619496465359</v>
      </c>
    </row>
    <row r="425" spans="10:12" x14ac:dyDescent="0.2">
      <c r="J425">
        <v>418</v>
      </c>
      <c r="K425">
        <v>5.0560424291802022</v>
      </c>
      <c r="L425">
        <v>0.17184057649504589</v>
      </c>
    </row>
    <row r="426" spans="10:12" x14ac:dyDescent="0.2">
      <c r="J426">
        <v>419</v>
      </c>
      <c r="K426">
        <v>5.0538520025133957</v>
      </c>
      <c r="L426">
        <v>0.17124899721354758</v>
      </c>
    </row>
    <row r="427" spans="10:12" x14ac:dyDescent="0.2">
      <c r="J427">
        <v>420</v>
      </c>
      <c r="K427">
        <v>5.0516386300066811</v>
      </c>
      <c r="L427">
        <v>0.1706614481196202</v>
      </c>
    </row>
    <row r="428" spans="10:12" x14ac:dyDescent="0.2">
      <c r="J428">
        <v>421</v>
      </c>
      <c r="K428">
        <v>5.0494022984478715</v>
      </c>
      <c r="L428">
        <v>0.1700779122269051</v>
      </c>
    </row>
    <row r="429" spans="10:12" x14ac:dyDescent="0.2">
      <c r="J429">
        <v>422</v>
      </c>
      <c r="K429">
        <v>5.047143533691683</v>
      </c>
      <c r="L429">
        <v>0.1694983405149933</v>
      </c>
    </row>
    <row r="430" spans="10:12" x14ac:dyDescent="0.2">
      <c r="J430">
        <v>423</v>
      </c>
      <c r="K430">
        <v>5.0448629911670988</v>
      </c>
      <c r="L430">
        <v>0.16892267647920997</v>
      </c>
    </row>
    <row r="431" spans="10:12" x14ac:dyDescent="0.2">
      <c r="J431">
        <v>424</v>
      </c>
      <c r="K431">
        <v>5.0425613200697832</v>
      </c>
      <c r="L431">
        <v>0.16835086424665097</v>
      </c>
    </row>
    <row r="432" spans="10:12" x14ac:dyDescent="0.2">
      <c r="J432">
        <v>425</v>
      </c>
      <c r="K432">
        <v>5.040239163412612</v>
      </c>
      <c r="L432">
        <v>0.16778284856875272</v>
      </c>
    </row>
    <row r="433" spans="10:12" x14ac:dyDescent="0.2">
      <c r="J433">
        <v>426</v>
      </c>
      <c r="K433">
        <v>5.037897158076472</v>
      </c>
      <c r="L433">
        <v>0.16721857481393876</v>
      </c>
    </row>
    <row r="434" spans="10:12" x14ac:dyDescent="0.2">
      <c r="J434">
        <v>427</v>
      </c>
      <c r="K434">
        <v>5.0355359348611373</v>
      </c>
      <c r="L434">
        <v>0.16665798896035455</v>
      </c>
    </row>
    <row r="435" spans="10:12" x14ac:dyDescent="0.2">
      <c r="J435">
        <v>428</v>
      </c>
      <c r="K435">
        <v>5.0331561185364233</v>
      </c>
      <c r="L435">
        <v>0.1661010375886755</v>
      </c>
    </row>
    <row r="436" spans="10:12" x14ac:dyDescent="0.2">
      <c r="J436">
        <v>429</v>
      </c>
      <c r="K436">
        <v>5.0307583278933983</v>
      </c>
      <c r="L436">
        <v>0.16554766787500214</v>
      </c>
    </row>
    <row r="437" spans="10:12" x14ac:dyDescent="0.2">
      <c r="J437">
        <v>430</v>
      </c>
      <c r="K437">
        <v>5.0283431757958672</v>
      </c>
      <c r="L437">
        <v>0.16499782758382744</v>
      </c>
    </row>
    <row r="438" spans="10:12" x14ac:dyDescent="0.2">
      <c r="J438">
        <v>431</v>
      </c>
      <c r="K438">
        <v>5.0259112692319707</v>
      </c>
      <c r="L438">
        <v>0.16445146506108504</v>
      </c>
    </row>
    <row r="439" spans="10:12" x14ac:dyDescent="0.2">
      <c r="J439">
        <v>432</v>
      </c>
      <c r="K439">
        <v>5.0234632093659233</v>
      </c>
      <c r="L439">
        <v>0.16390852922727517</v>
      </c>
    </row>
    <row r="440" spans="10:12" x14ac:dyDescent="0.2">
      <c r="J440">
        <v>433</v>
      </c>
      <c r="K440">
        <v>5.0209995915899688</v>
      </c>
      <c r="L440">
        <v>0.16336896957066427</v>
      </c>
    </row>
    <row r="441" spans="10:12" x14ac:dyDescent="0.2">
      <c r="J441">
        <v>434</v>
      </c>
      <c r="K441">
        <v>5.0185210055764466</v>
      </c>
      <c r="L441">
        <v>0.16283273614056137</v>
      </c>
    </row>
    <row r="442" spans="10:12" x14ac:dyDescent="0.2">
      <c r="J442">
        <v>435</v>
      </c>
      <c r="K442">
        <v>5.0160280353300157</v>
      </c>
      <c r="L442">
        <v>0.16229977954066876</v>
      </c>
    </row>
    <row r="443" spans="10:12" x14ac:dyDescent="0.2">
      <c r="J443">
        <v>436</v>
      </c>
      <c r="K443">
        <v>5.0135212592400533</v>
      </c>
      <c r="L443">
        <v>0.1617700509225049</v>
      </c>
    </row>
    <row r="444" spans="10:12" x14ac:dyDescent="0.2">
      <c r="J444">
        <v>437</v>
      </c>
      <c r="K444">
        <v>5.0110012501331562</v>
      </c>
      <c r="L444">
        <v>0.16124350197890222</v>
      </c>
    </row>
    <row r="445" spans="10:12" x14ac:dyDescent="0.2">
      <c r="J445">
        <v>438</v>
      </c>
      <c r="K445">
        <v>5.0084685753258125</v>
      </c>
      <c r="L445">
        <v>0.16072008493757498</v>
      </c>
    </row>
    <row r="446" spans="10:12" x14ac:dyDescent="0.2">
      <c r="J446">
        <v>439</v>
      </c>
      <c r="K446">
        <v>5.0059237966772132</v>
      </c>
      <c r="L446">
        <v>0.16019975255475805</v>
      </c>
    </row>
    <row r="447" spans="10:12" x14ac:dyDescent="0.2">
      <c r="J447">
        <v>440</v>
      </c>
      <c r="K447">
        <v>5.0033674706421749</v>
      </c>
      <c r="L447">
        <v>0.15968245810891751</v>
      </c>
    </row>
    <row r="448" spans="10:12" x14ac:dyDescent="0.2">
      <c r="J448">
        <v>441</v>
      </c>
      <c r="K448">
        <v>5.0008001483241866</v>
      </c>
      <c r="L448">
        <v>0.15916815539453028</v>
      </c>
    </row>
    <row r="449" spans="10:12" x14ac:dyDescent="0.2">
      <c r="J449">
        <v>442</v>
      </c>
      <c r="K449">
        <v>4.998222375528635</v>
      </c>
      <c r="L449">
        <v>0.15865679871593052</v>
      </c>
    </row>
    <row r="450" spans="10:12" x14ac:dyDescent="0.2">
      <c r="J450">
        <v>443</v>
      </c>
      <c r="K450">
        <v>4.9956346928160746</v>
      </c>
      <c r="L450">
        <v>0.15814834288122714</v>
      </c>
    </row>
    <row r="451" spans="10:12" x14ac:dyDescent="0.2">
      <c r="J451">
        <v>444</v>
      </c>
      <c r="K451">
        <v>4.9930376355556847</v>
      </c>
      <c r="L451">
        <v>0.15764274319628535</v>
      </c>
    </row>
    <row r="452" spans="10:12" x14ac:dyDescent="0.2">
      <c r="J452">
        <v>445</v>
      </c>
      <c r="K452">
        <v>4.9904317339787951</v>
      </c>
      <c r="L452">
        <v>0.15713995545877676</v>
      </c>
    </row>
    <row r="453" spans="10:12" x14ac:dyDescent="0.2">
      <c r="J453">
        <v>446</v>
      </c>
      <c r="K453">
        <v>4.9878175132325318</v>
      </c>
      <c r="L453">
        <v>0.15663993595229481</v>
      </c>
    </row>
    <row r="454" spans="10:12" x14ac:dyDescent="0.2">
      <c r="J454">
        <v>447</v>
      </c>
      <c r="K454">
        <v>4.9851954934335962</v>
      </c>
      <c r="L454">
        <v>0.15614264144053308</v>
      </c>
    </row>
    <row r="455" spans="10:12" x14ac:dyDescent="0.2">
      <c r="J455">
        <v>448</v>
      </c>
      <c r="K455">
        <v>4.9825661897221076</v>
      </c>
      <c r="L455">
        <v>0.15564802916153098</v>
      </c>
    </row>
    <row r="456" spans="10:12" x14ac:dyDescent="0.2">
      <c r="J456">
        <v>449</v>
      </c>
      <c r="K456">
        <v>4.9799301123155519</v>
      </c>
      <c r="L456">
        <v>0.15515605682198119</v>
      </c>
    </row>
    <row r="457" spans="10:12" x14ac:dyDescent="0.2">
      <c r="J457">
        <v>450</v>
      </c>
      <c r="K457">
        <v>4.9772877665628732</v>
      </c>
      <c r="L457">
        <v>0.15466668259159816</v>
      </c>
    </row>
    <row r="458" spans="10:12" x14ac:dyDescent="0.2">
      <c r="J458">
        <v>451</v>
      </c>
      <c r="K458">
        <v>4.9746396529985759</v>
      </c>
      <c r="L458">
        <v>0.15417986509755277</v>
      </c>
    </row>
    <row r="459" spans="10:12" x14ac:dyDescent="0.2">
      <c r="J459">
        <v>452</v>
      </c>
      <c r="K459">
        <v>4.9719862673969875</v>
      </c>
      <c r="L459">
        <v>0.15369556341896434</v>
      </c>
    </row>
    <row r="460" spans="10:12" x14ac:dyDescent="0.2">
      <c r="J460">
        <v>453</v>
      </c>
      <c r="K460">
        <v>4.9693281008265737</v>
      </c>
      <c r="L460">
        <v>0.15321373708145472</v>
      </c>
    </row>
    <row r="461" spans="10:12" x14ac:dyDescent="0.2">
      <c r="J461">
        <v>454</v>
      </c>
      <c r="K461">
        <v>4.9666656397043143</v>
      </c>
      <c r="L461">
        <v>0.15273434605176434</v>
      </c>
    </row>
    <row r="462" spans="10:12" x14ac:dyDescent="0.2">
      <c r="J462">
        <v>455</v>
      </c>
      <c r="K462">
        <v>4.9639993658502188</v>
      </c>
      <c r="L462">
        <v>0.15225735073242316</v>
      </c>
    </row>
    <row r="463" spans="10:12" x14ac:dyDescent="0.2">
      <c r="J463">
        <v>456</v>
      </c>
      <c r="K463">
        <v>4.9613297565418453</v>
      </c>
      <c r="L463">
        <v>0.15178271195648468</v>
      </c>
    </row>
    <row r="464" spans="10:12" x14ac:dyDescent="0.2">
      <c r="J464">
        <v>457</v>
      </c>
      <c r="K464">
        <v>4.9586572845689503</v>
      </c>
      <c r="L464">
        <v>0.15131039098231452</v>
      </c>
    </row>
    <row r="465" spans="10:12" x14ac:dyDescent="0.2">
      <c r="J465">
        <v>458</v>
      </c>
      <c r="K465">
        <v>4.9559824182881655</v>
      </c>
      <c r="L465">
        <v>0.15084034948843858</v>
      </c>
    </row>
    <row r="466" spans="10:12" x14ac:dyDescent="0.2">
      <c r="J466">
        <v>459</v>
      </c>
      <c r="K466">
        <v>4.9533056216777549</v>
      </c>
      <c r="L466">
        <v>0.15037254956844692</v>
      </c>
    </row>
    <row r="467" spans="10:12" x14ac:dyDescent="0.2">
      <c r="J467">
        <v>460</v>
      </c>
      <c r="K467">
        <v>4.9506273543924504</v>
      </c>
      <c r="L467">
        <v>0.14990695372595308</v>
      </c>
    </row>
    <row r="468" spans="10:12" x14ac:dyDescent="0.2">
      <c r="J468">
        <v>461</v>
      </c>
      <c r="K468">
        <v>4.9479480718183266</v>
      </c>
      <c r="L468">
        <v>0.14944352486960949</v>
      </c>
    </row>
    <row r="469" spans="10:12" x14ac:dyDescent="0.2">
      <c r="J469">
        <v>462</v>
      </c>
      <c r="K469">
        <v>4.9452682251277267</v>
      </c>
      <c r="L469">
        <v>0.1489822263081782</v>
      </c>
    </row>
    <row r="470" spans="10:12" x14ac:dyDescent="0.2">
      <c r="J470">
        <v>463</v>
      </c>
      <c r="K470">
        <v>4.9425882613342891</v>
      </c>
      <c r="L470">
        <v>0.14852302174565354</v>
      </c>
    </row>
    <row r="471" spans="10:12" x14ac:dyDescent="0.2">
      <c r="J471">
        <v>464</v>
      </c>
      <c r="K471">
        <v>4.9399086233479546</v>
      </c>
      <c r="L471">
        <v>0.14806587527644161</v>
      </c>
    </row>
    <row r="472" spans="10:12" x14ac:dyDescent="0.2">
      <c r="J472">
        <v>465</v>
      </c>
      <c r="K472">
        <v>4.9372297500301059</v>
      </c>
      <c r="L472">
        <v>0.14761075138058843</v>
      </c>
    </row>
    <row r="473" spans="10:12" x14ac:dyDescent="0.2">
      <c r="J473">
        <v>466</v>
      </c>
      <c r="K473">
        <v>4.934552076248675</v>
      </c>
      <c r="L473">
        <v>0.14715761491906543</v>
      </c>
    </row>
    <row r="474" spans="10:12" x14ac:dyDescent="0.2">
      <c r="J474">
        <v>467</v>
      </c>
      <c r="K474">
        <v>4.9318760329333688</v>
      </c>
      <c r="L474">
        <v>0.14670643112910176</v>
      </c>
    </row>
    <row r="475" spans="10:12" x14ac:dyDescent="0.2">
      <c r="J475">
        <v>468</v>
      </c>
      <c r="K475">
        <v>4.9292020471308913</v>
      </c>
      <c r="L475">
        <v>0.14625716561957081</v>
      </c>
    </row>
    <row r="476" spans="10:12" x14ac:dyDescent="0.2">
      <c r="J476">
        <v>469</v>
      </c>
      <c r="K476">
        <v>4.9265305420602337</v>
      </c>
      <c r="L476">
        <v>0.14580978436642633</v>
      </c>
    </row>
    <row r="477" spans="10:12" x14ac:dyDescent="0.2">
      <c r="J477">
        <v>470</v>
      </c>
      <c r="K477">
        <v>4.9238619371679819</v>
      </c>
      <c r="L477">
        <v>0.14536425370818917</v>
      </c>
    </row>
    <row r="478" spans="10:12" x14ac:dyDescent="0.2">
      <c r="J478">
        <v>471</v>
      </c>
      <c r="K478">
        <v>4.9211966481837175</v>
      </c>
      <c r="L478">
        <v>0.14492054034148086</v>
      </c>
    </row>
    <row r="479" spans="10:12" x14ac:dyDescent="0.2">
      <c r="J479">
        <v>472</v>
      </c>
      <c r="K479">
        <v>4.9185350871753766</v>
      </c>
      <c r="L479">
        <v>0.14447861131661066</v>
      </c>
    </row>
    <row r="480" spans="10:12" x14ac:dyDescent="0.2">
      <c r="J480">
        <v>473</v>
      </c>
      <c r="K480">
        <v>4.915877662604732</v>
      </c>
      <c r="L480">
        <v>0.14403843403320615</v>
      </c>
    </row>
    <row r="481" spans="10:12" x14ac:dyDescent="0.2">
      <c r="J481">
        <v>474</v>
      </c>
      <c r="K481">
        <v>4.9132247793828538</v>
      </c>
      <c r="L481">
        <v>0.14359997623589443</v>
      </c>
    </row>
    <row r="482" spans="10:12" x14ac:dyDescent="0.2">
      <c r="J482">
        <v>475</v>
      </c>
      <c r="K482">
        <v>4.910576838925623</v>
      </c>
      <c r="L482">
        <v>0.14316320601003044</v>
      </c>
    </row>
    <row r="483" spans="10:12" x14ac:dyDescent="0.2">
      <c r="J483">
        <v>476</v>
      </c>
      <c r="K483">
        <v>4.9079342392093253</v>
      </c>
      <c r="L483">
        <v>0.14272809177746898</v>
      </c>
    </row>
    <row r="484" spans="10:12" x14ac:dyDescent="0.2">
      <c r="J484">
        <v>477</v>
      </c>
      <c r="K484">
        <v>4.9052973748261852</v>
      </c>
      <c r="L484">
        <v>0.14229460229238794</v>
      </c>
    </row>
    <row r="485" spans="10:12" x14ac:dyDescent="0.2">
      <c r="J485">
        <v>478</v>
      </c>
      <c r="K485">
        <v>4.90266663704005</v>
      </c>
      <c r="L485">
        <v>0.14186270663715211</v>
      </c>
    </row>
    <row r="486" spans="10:12" x14ac:dyDescent="0.2">
      <c r="J486">
        <v>479</v>
      </c>
      <c r="K486">
        <v>4.900042413842014</v>
      </c>
      <c r="L486">
        <v>0.1414323742182258</v>
      </c>
    </row>
    <row r="487" spans="10:12" x14ac:dyDescent="0.2">
      <c r="J487">
        <v>480</v>
      </c>
      <c r="K487">
        <v>4.8974250900061467</v>
      </c>
      <c r="L487">
        <v>0.14100357476212749</v>
      </c>
    </row>
    <row r="488" spans="10:12" x14ac:dyDescent="0.2">
      <c r="J488">
        <v>481</v>
      </c>
      <c r="K488">
        <v>4.8948149811452772</v>
      </c>
      <c r="L488">
        <v>0.14057628203037248</v>
      </c>
    </row>
    <row r="489" spans="10:12" x14ac:dyDescent="0.2">
      <c r="J489">
        <v>482</v>
      </c>
      <c r="K489">
        <v>4.8922121367646145</v>
      </c>
      <c r="L489">
        <v>0.14015048488772849</v>
      </c>
    </row>
    <row r="490" spans="10:12" x14ac:dyDescent="0.2">
      <c r="J490">
        <v>483</v>
      </c>
      <c r="K490">
        <v>4.8896165400394622</v>
      </c>
      <c r="L490">
        <v>0.13972617599489104</v>
      </c>
    </row>
    <row r="491" spans="10:12" x14ac:dyDescent="0.2">
      <c r="J491">
        <v>484</v>
      </c>
      <c r="K491">
        <v>4.8870281740695534</v>
      </c>
      <c r="L491">
        <v>0.1393033480676748</v>
      </c>
    </row>
    <row r="492" spans="10:12" x14ac:dyDescent="0.2">
      <c r="J492">
        <v>485</v>
      </c>
      <c r="K492">
        <v>4.8844470218813134</v>
      </c>
      <c r="L492">
        <v>0.1388819938764751</v>
      </c>
    </row>
    <row r="493" spans="10:12" x14ac:dyDescent="0.2">
      <c r="J493">
        <v>486</v>
      </c>
      <c r="K493">
        <v>4.8818730664300523</v>
      </c>
      <c r="L493">
        <v>0.13846210624573674</v>
      </c>
    </row>
    <row r="494" spans="10:12" x14ac:dyDescent="0.2">
      <c r="J494">
        <v>487</v>
      </c>
      <c r="K494">
        <v>4.8793062906021483</v>
      </c>
      <c r="L494">
        <v>0.13804367805342788</v>
      </c>
    </row>
    <row r="495" spans="10:12" x14ac:dyDescent="0.2">
      <c r="J495">
        <v>488</v>
      </c>
      <c r="K495">
        <v>4.8767466772172039</v>
      </c>
      <c r="L495">
        <v>0.1376267022305184</v>
      </c>
    </row>
    <row r="496" spans="10:12" x14ac:dyDescent="0.2">
      <c r="J496">
        <v>489</v>
      </c>
      <c r="K496">
        <v>4.8741942090301285</v>
      </c>
      <c r="L496">
        <v>0.13721117176046671</v>
      </c>
    </row>
    <row r="497" spans="10:12" x14ac:dyDescent="0.2">
      <c r="J497">
        <v>490</v>
      </c>
      <c r="K497">
        <v>4.8716488687332342</v>
      </c>
      <c r="L497">
        <v>0.13679707967870891</v>
      </c>
    </row>
    <row r="498" spans="10:12" x14ac:dyDescent="0.2">
      <c r="J498">
        <v>491</v>
      </c>
      <c r="K498">
        <v>4.8691106389582757</v>
      </c>
      <c r="L498">
        <v>0.13638441907215554</v>
      </c>
    </row>
    <row r="499" spans="10:12" x14ac:dyDescent="0.2">
      <c r="J499">
        <v>492</v>
      </c>
      <c r="K499">
        <v>4.8665795022784479</v>
      </c>
      <c r="L499">
        <v>0.13597318307869269</v>
      </c>
    </row>
    <row r="500" spans="10:12" x14ac:dyDescent="0.2">
      <c r="J500">
        <v>493</v>
      </c>
      <c r="K500">
        <v>4.8640554412103816</v>
      </c>
      <c r="L500">
        <v>0.13556336488668908</v>
      </c>
    </row>
    <row r="501" spans="10:12" x14ac:dyDescent="0.2">
      <c r="J501">
        <v>494</v>
      </c>
      <c r="K501">
        <v>4.8615384382160842</v>
      </c>
      <c r="L501">
        <v>0.13515495773450764</v>
      </c>
    </row>
    <row r="502" spans="10:12" x14ac:dyDescent="0.2">
      <c r="J502">
        <v>495</v>
      </c>
      <c r="K502">
        <v>4.8590284757048412</v>
      </c>
      <c r="L502">
        <v>0.13474795491002384</v>
      </c>
    </row>
    <row r="503" spans="10:12" x14ac:dyDescent="0.2">
      <c r="J503">
        <v>496</v>
      </c>
      <c r="K503">
        <v>4.8565255360351198</v>
      </c>
      <c r="L503">
        <v>0.13434234975014708</v>
      </c>
    </row>
    <row r="504" spans="10:12" x14ac:dyDescent="0.2">
      <c r="J504">
        <v>497</v>
      </c>
      <c r="K504">
        <v>4.8540296015164426</v>
      </c>
      <c r="L504">
        <v>0.13393813564034762</v>
      </c>
    </row>
    <row r="505" spans="10:12" x14ac:dyDescent="0.2">
      <c r="J505">
        <v>498</v>
      </c>
      <c r="K505">
        <v>4.8515406544111643</v>
      </c>
      <c r="L505">
        <v>0.13353530601419139</v>
      </c>
    </row>
    <row r="506" spans="10:12" x14ac:dyDescent="0.2">
      <c r="J506">
        <v>499</v>
      </c>
      <c r="K506">
        <v>4.8490586769363002</v>
      </c>
      <c r="L506">
        <v>0.13313385435287592</v>
      </c>
    </row>
    <row r="507" spans="10:12" x14ac:dyDescent="0.2">
      <c r="J507">
        <v>500</v>
      </c>
      <c r="K507">
        <v>4.8465836512653064</v>
      </c>
      <c r="L507">
        <v>0.13273377418477278</v>
      </c>
    </row>
    <row r="508" spans="10:12" x14ac:dyDescent="0.2">
      <c r="J508">
        <v>501</v>
      </c>
      <c r="K508">
        <v>4.8441155595297891</v>
      </c>
      <c r="L508">
        <v>0.13233505908497584</v>
      </c>
    </row>
    <row r="509" spans="10:12" x14ac:dyDescent="0.2">
      <c r="J509">
        <v>502</v>
      </c>
      <c r="K509">
        <v>4.841654383821238</v>
      </c>
      <c r="L509">
        <v>0.13193770267485289</v>
      </c>
    </row>
    <row r="510" spans="10:12" x14ac:dyDescent="0.2">
      <c r="J510">
        <v>503</v>
      </c>
      <c r="K510">
        <v>4.8392001061926955</v>
      </c>
      <c r="L510">
        <v>0.13154169862160353</v>
      </c>
    </row>
    <row r="511" spans="10:12" x14ac:dyDescent="0.2">
      <c r="J511">
        <v>504</v>
      </c>
      <c r="K511">
        <v>4.8367527086604332</v>
      </c>
      <c r="L511">
        <v>0.13114704063781912</v>
      </c>
    </row>
    <row r="512" spans="10:12" x14ac:dyDescent="0.2">
      <c r="J512">
        <v>505</v>
      </c>
      <c r="K512">
        <v>4.8343121732055669</v>
      </c>
      <c r="L512">
        <v>0.13075372248105116</v>
      </c>
    </row>
    <row r="513" spans="10:12" x14ac:dyDescent="0.2">
      <c r="J513">
        <v>506</v>
      </c>
      <c r="K513">
        <v>4.8318784817756617</v>
      </c>
      <c r="L513">
        <v>0.13036173795338118</v>
      </c>
    </row>
    <row r="514" spans="10:12" x14ac:dyDescent="0.2">
      <c r="J514">
        <v>507</v>
      </c>
      <c r="K514">
        <v>4.8294516162863088</v>
      </c>
      <c r="L514">
        <v>0.12997108090099713</v>
      </c>
    </row>
    <row r="515" spans="10:12" x14ac:dyDescent="0.2">
      <c r="J515">
        <v>508</v>
      </c>
      <c r="K515">
        <v>4.8270315586226946</v>
      </c>
      <c r="L515">
        <v>0.12958174521377219</v>
      </c>
    </row>
    <row r="516" spans="10:12" x14ac:dyDescent="0.2">
      <c r="J516">
        <v>509</v>
      </c>
      <c r="K516">
        <v>4.8246182906411104</v>
      </c>
      <c r="L516">
        <v>0.12919372482485064</v>
      </c>
    </row>
    <row r="517" spans="10:12" x14ac:dyDescent="0.2">
      <c r="J517">
        <v>510</v>
      </c>
      <c r="K517">
        <v>4.8222117941704425</v>
      </c>
      <c r="L517">
        <v>0.12880701371023692</v>
      </c>
    </row>
    <row r="518" spans="10:12" x14ac:dyDescent="0.2">
      <c r="J518">
        <v>511</v>
      </c>
      <c r="K518">
        <v>4.8198120510136926</v>
      </c>
      <c r="L518">
        <v>0.12842160588838744</v>
      </c>
    </row>
    <row r="519" spans="10:12" x14ac:dyDescent="0.2">
      <c r="J519">
        <v>512</v>
      </c>
      <c r="K519">
        <v>4.8174190429493819</v>
      </c>
      <c r="L519">
        <v>0.12803749541981035</v>
      </c>
    </row>
    <row r="520" spans="10:12" x14ac:dyDescent="0.2">
      <c r="J520">
        <v>513</v>
      </c>
      <c r="K520">
        <v>4.8150327517330078</v>
      </c>
      <c r="L520">
        <v>0.12765467640666625</v>
      </c>
    </row>
    <row r="521" spans="10:12" x14ac:dyDescent="0.2">
      <c r="J521">
        <v>514</v>
      </c>
      <c r="K521">
        <v>4.8126531590984456</v>
      </c>
      <c r="L521">
        <v>0.12727314299237466</v>
      </c>
    </row>
    <row r="522" spans="10:12" x14ac:dyDescent="0.2">
      <c r="J522">
        <v>515</v>
      </c>
      <c r="K522">
        <v>4.8102802467593246</v>
      </c>
      <c r="L522">
        <v>0.12689288936122461</v>
      </c>
    </row>
    <row r="523" spans="10:12" x14ac:dyDescent="0.2">
      <c r="J523">
        <v>516</v>
      </c>
      <c r="K523">
        <v>4.8079139964103978</v>
      </c>
      <c r="L523">
        <v>0.12651390973798876</v>
      </c>
    </row>
    <row r="524" spans="10:12" x14ac:dyDescent="0.2">
      <c r="J524">
        <v>517</v>
      </c>
      <c r="K524">
        <v>4.805554389728858</v>
      </c>
      <c r="L524">
        <v>0.12613619838754303</v>
      </c>
    </row>
    <row r="525" spans="10:12" x14ac:dyDescent="0.2">
      <c r="J525">
        <v>518</v>
      </c>
      <c r="K525">
        <v>4.8032014083756795</v>
      </c>
      <c r="L525">
        <v>0.12575974961448783</v>
      </c>
    </row>
    <row r="526" spans="10:12" x14ac:dyDescent="0.2">
      <c r="J526">
        <v>519</v>
      </c>
      <c r="K526">
        <v>4.8008550339968901</v>
      </c>
      <c r="L526">
        <v>0.12538455776277579</v>
      </c>
    </row>
    <row r="527" spans="10:12" x14ac:dyDescent="0.2">
      <c r="J527">
        <v>520</v>
      </c>
      <c r="K527">
        <v>4.7985152482248496</v>
      </c>
      <c r="L527">
        <v>0.12501061721534235</v>
      </c>
    </row>
    <row r="528" spans="10:12" x14ac:dyDescent="0.2">
      <c r="J528">
        <v>521</v>
      </c>
      <c r="K528">
        <v>4.7961820326794999</v>
      </c>
      <c r="L528">
        <v>0.1246379223937395</v>
      </c>
    </row>
    <row r="529" spans="10:12" x14ac:dyDescent="0.2">
      <c r="J529">
        <v>522</v>
      </c>
      <c r="K529">
        <v>4.7938553689695844</v>
      </c>
      <c r="L529">
        <v>0.12426646775777553</v>
      </c>
    </row>
    <row r="530" spans="10:12" x14ac:dyDescent="0.2">
      <c r="J530">
        <v>523</v>
      </c>
      <c r="K530">
        <v>4.791535238693875</v>
      </c>
      <c r="L530">
        <v>0.12389624780515568</v>
      </c>
    </row>
    <row r="531" spans="10:12" x14ac:dyDescent="0.2">
      <c r="J531">
        <v>524</v>
      </c>
      <c r="K531">
        <v>4.7892216234423346</v>
      </c>
      <c r="L531">
        <v>0.12352725707112981</v>
      </c>
    </row>
    <row r="532" spans="10:12" x14ac:dyDescent="0.2">
      <c r="J532">
        <v>525</v>
      </c>
      <c r="K532">
        <v>4.7869145047972967</v>
      </c>
      <c r="L532">
        <v>0.12315949012814122</v>
      </c>
    </row>
    <row r="533" spans="10:12" x14ac:dyDescent="0.2">
      <c r="J533">
        <v>526</v>
      </c>
      <c r="K533">
        <v>4.7846138643346166</v>
      </c>
      <c r="L533">
        <v>0.12279294158548019</v>
      </c>
    </row>
    <row r="534" spans="10:12" x14ac:dyDescent="0.2">
      <c r="J534">
        <v>527</v>
      </c>
      <c r="K534">
        <v>4.7823196836248005</v>
      </c>
      <c r="L534">
        <v>0.12242760608894106</v>
      </c>
    </row>
    <row r="535" spans="10:12" x14ac:dyDescent="0.2">
      <c r="J535">
        <v>528</v>
      </c>
      <c r="K535">
        <v>4.7800319442340946</v>
      </c>
      <c r="L535">
        <v>0.1220634783204837</v>
      </c>
    </row>
    <row r="536" spans="10:12" x14ac:dyDescent="0.2">
      <c r="J536">
        <v>529</v>
      </c>
      <c r="K536">
        <v>4.777750627725589</v>
      </c>
      <c r="L536">
        <v>0.12170055299789743</v>
      </c>
    </row>
    <row r="537" spans="10:12" x14ac:dyDescent="0.2">
      <c r="J537">
        <v>530</v>
      </c>
      <c r="K537">
        <v>4.7754757156602921</v>
      </c>
      <c r="L537">
        <v>0.12133882487446855</v>
      </c>
    </row>
    <row r="538" spans="10:12" x14ac:dyDescent="0.2">
      <c r="J538">
        <v>531</v>
      </c>
      <c r="K538">
        <v>4.7732071895981729</v>
      </c>
      <c r="L538">
        <v>0.12097828873865238</v>
      </c>
    </row>
    <row r="539" spans="10:12" x14ac:dyDescent="0.2">
      <c r="J539">
        <v>532</v>
      </c>
      <c r="K539">
        <v>4.7709450310991945</v>
      </c>
      <c r="L539">
        <v>0.12061893941374779</v>
      </c>
    </row>
    <row r="540" spans="10:12" x14ac:dyDescent="0.2">
      <c r="J540">
        <v>533</v>
      </c>
      <c r="K540">
        <v>4.7686892217243368</v>
      </c>
      <c r="L540">
        <v>0.12026077175757581</v>
      </c>
    </row>
    <row r="541" spans="10:12" x14ac:dyDescent="0.2">
      <c r="J541">
        <v>534</v>
      </c>
      <c r="K541">
        <v>4.766439743036587</v>
      </c>
      <c r="L541">
        <v>0.11990378066216101</v>
      </c>
    </row>
    <row r="542" spans="10:12" x14ac:dyDescent="0.2">
      <c r="J542">
        <v>535</v>
      </c>
      <c r="K542">
        <v>4.7641965766019307</v>
      </c>
      <c r="L542">
        <v>0.11954796105341634</v>
      </c>
    </row>
    <row r="543" spans="10:12" x14ac:dyDescent="0.2">
      <c r="J543">
        <v>536</v>
      </c>
      <c r="K543">
        <v>4.7619597039902972</v>
      </c>
      <c r="L543">
        <v>0.11919330789083253</v>
      </c>
    </row>
    <row r="544" spans="10:12" x14ac:dyDescent="0.2">
      <c r="J544">
        <v>537</v>
      </c>
      <c r="K544">
        <v>4.7597291067765175</v>
      </c>
      <c r="L544">
        <v>0.11883981616716877</v>
      </c>
    </row>
    <row r="545" spans="10:12" x14ac:dyDescent="0.2">
      <c r="J545">
        <v>538</v>
      </c>
      <c r="K545">
        <v>4.7575047665412606</v>
      </c>
      <c r="L545">
        <v>0.11848748090814765</v>
      </c>
    </row>
    <row r="546" spans="10:12" x14ac:dyDescent="0.2">
      <c r="J546">
        <v>539</v>
      </c>
      <c r="K546">
        <v>4.7552866648719307</v>
      </c>
      <c r="L546">
        <v>0.11813629717215386</v>
      </c>
    </row>
    <row r="547" spans="10:12" x14ac:dyDescent="0.2">
      <c r="J547">
        <v>540</v>
      </c>
      <c r="K547">
        <v>4.7530747833635747</v>
      </c>
      <c r="L547">
        <v>0.11778626004993485</v>
      </c>
    </row>
    <row r="548" spans="10:12" x14ac:dyDescent="0.2">
      <c r="J548">
        <v>541</v>
      </c>
      <c r="K548">
        <v>4.7508691036197428</v>
      </c>
      <c r="L548">
        <v>0.11743736466430663</v>
      </c>
    </row>
    <row r="549" spans="10:12" x14ac:dyDescent="0.2">
      <c r="J549">
        <v>542</v>
      </c>
      <c r="K549">
        <v>4.748669607253408</v>
      </c>
      <c r="L549">
        <v>0.11708960616985799</v>
      </c>
    </row>
    <row r="550" spans="10:12" x14ac:dyDescent="0.2">
      <c r="J550">
        <v>543</v>
      </c>
      <c r="K550">
        <v>4.7464762758877317</v>
      </c>
      <c r="L550">
        <v>0.11674297975266583</v>
      </c>
    </row>
    <row r="551" spans="10:12" x14ac:dyDescent="0.2">
      <c r="J551">
        <v>544</v>
      </c>
      <c r="K551">
        <v>4.7442890911569684</v>
      </c>
      <c r="L551">
        <v>0.11639748063000484</v>
      </c>
    </row>
    <row r="552" spans="10:12" x14ac:dyDescent="0.2">
      <c r="J552">
        <v>545</v>
      </c>
      <c r="K552">
        <v>4.7421080347072557</v>
      </c>
      <c r="L552">
        <v>0.11605310405006593</v>
      </c>
    </row>
    <row r="553" spans="10:12" x14ac:dyDescent="0.2">
      <c r="J553">
        <v>546</v>
      </c>
      <c r="K553">
        <v>4.7399330881974127</v>
      </c>
      <c r="L553">
        <v>0.11570984529167574</v>
      </c>
    </row>
    <row r="554" spans="10:12" x14ac:dyDescent="0.2">
      <c r="J554">
        <v>547</v>
      </c>
      <c r="K554">
        <v>4.7377642332997496</v>
      </c>
      <c r="L554">
        <v>0.11536769966401847</v>
      </c>
    </row>
    <row r="555" spans="10:12" x14ac:dyDescent="0.2">
      <c r="J555">
        <v>548</v>
      </c>
      <c r="K555">
        <v>4.7356014517008171</v>
      </c>
      <c r="L555">
        <v>0.11502666250636262</v>
      </c>
    </row>
    <row r="556" spans="10:12" x14ac:dyDescent="0.2">
      <c r="J556">
        <v>549</v>
      </c>
      <c r="K556">
        <v>4.7334447251021805</v>
      </c>
      <c r="L556">
        <v>0.11468672918778815</v>
      </c>
    </row>
    <row r="557" spans="10:12" x14ac:dyDescent="0.2">
      <c r="J557">
        <v>550</v>
      </c>
      <c r="K557">
        <v>4.7312940352211781</v>
      </c>
      <c r="L557">
        <v>0.1143478951069177</v>
      </c>
    </row>
    <row r="558" spans="10:12" x14ac:dyDescent="0.2">
      <c r="J558">
        <v>551</v>
      </c>
      <c r="K558">
        <v>4.7291493637916249</v>
      </c>
      <c r="L558">
        <v>0.11401015569165171</v>
      </c>
    </row>
    <row r="559" spans="10:12" x14ac:dyDescent="0.2">
      <c r="J559">
        <v>552</v>
      </c>
      <c r="K559">
        <v>4.7270106925645541</v>
      </c>
      <c r="L559">
        <v>0.11367350639890375</v>
      </c>
    </row>
    <row r="560" spans="10:12" x14ac:dyDescent="0.2">
      <c r="J560">
        <v>553</v>
      </c>
      <c r="K560">
        <v>4.7248780033089108</v>
      </c>
      <c r="L560">
        <v>0.11333794271434118</v>
      </c>
    </row>
    <row r="561" spans="10:12" x14ac:dyDescent="0.2">
      <c r="J561">
        <v>554</v>
      </c>
      <c r="K561">
        <v>4.7227512778122485</v>
      </c>
      <c r="L561">
        <v>0.11300346015212695</v>
      </c>
    </row>
    <row r="562" spans="10:12" x14ac:dyDescent="0.2">
      <c r="J562">
        <v>555</v>
      </c>
      <c r="K562">
        <v>4.7206304978814124</v>
      </c>
      <c r="L562">
        <v>0.11267005425466398</v>
      </c>
    </row>
    <row r="563" spans="10:12" x14ac:dyDescent="0.2">
      <c r="J563">
        <v>556</v>
      </c>
      <c r="K563">
        <v>4.7185156453431913</v>
      </c>
      <c r="L563">
        <v>0.11233772059234381</v>
      </c>
    </row>
    <row r="564" spans="10:12" x14ac:dyDescent="0.2">
      <c r="J564">
        <v>557</v>
      </c>
      <c r="K564">
        <v>4.7164067020449796</v>
      </c>
      <c r="L564">
        <v>0.1120064547632965</v>
      </c>
    </row>
    <row r="565" spans="10:12" x14ac:dyDescent="0.2">
      <c r="J565">
        <v>558</v>
      </c>
      <c r="K565">
        <v>4.7143036498554256</v>
      </c>
      <c r="L565">
        <v>0.11167625239314251</v>
      </c>
    </row>
    <row r="566" spans="10:12" x14ac:dyDescent="0.2">
      <c r="J566">
        <v>559</v>
      </c>
      <c r="K566">
        <v>4.7122064706650368</v>
      </c>
      <c r="L566">
        <v>0.11134710913474979</v>
      </c>
    </row>
    <row r="567" spans="10:12" x14ac:dyDescent="0.2">
      <c r="J567">
        <v>560</v>
      </c>
      <c r="K567">
        <v>4.7101151463868316</v>
      </c>
      <c r="L567">
        <v>0.11101902066798988</v>
      </c>
    </row>
    <row r="568" spans="10:12" x14ac:dyDescent="0.2">
      <c r="J568">
        <v>561</v>
      </c>
      <c r="K568">
        <v>4.7080296589569022</v>
      </c>
      <c r="L568">
        <v>0.11069198269950022</v>
      </c>
    </row>
    <row r="569" spans="10:12" x14ac:dyDescent="0.2">
      <c r="J569">
        <v>562</v>
      </c>
      <c r="K569">
        <v>4.705949990335033</v>
      </c>
      <c r="L569">
        <v>0.11036599096244568</v>
      </c>
    </row>
    <row r="570" spans="10:12" x14ac:dyDescent="0.2">
      <c r="J570">
        <v>563</v>
      </c>
      <c r="K570">
        <v>4.7038761225052816</v>
      </c>
      <c r="L570">
        <v>0.11004104121628459</v>
      </c>
    </row>
    <row r="571" spans="10:12" x14ac:dyDescent="0.2">
      <c r="J571">
        <v>564</v>
      </c>
      <c r="K571">
        <v>4.7018080374765336</v>
      </c>
      <c r="L571">
        <v>0.10971712924653668</v>
      </c>
    </row>
    <row r="572" spans="10:12" x14ac:dyDescent="0.2">
      <c r="J572">
        <v>565</v>
      </c>
      <c r="K572">
        <v>4.6997457172830641</v>
      </c>
      <c r="L572">
        <v>0.10939425086455352</v>
      </c>
    </row>
    <row r="573" spans="10:12" x14ac:dyDescent="0.2">
      <c r="J573">
        <v>566</v>
      </c>
      <c r="K573">
        <v>4.6976891439851087</v>
      </c>
      <c r="L573">
        <v>0.10907240190728985</v>
      </c>
    </row>
    <row r="574" spans="10:12" x14ac:dyDescent="0.2">
      <c r="J574">
        <v>567</v>
      </c>
      <c r="K574">
        <v>4.695638299669346</v>
      </c>
      <c r="L574">
        <v>0.10875157823708101</v>
      </c>
    </row>
    <row r="575" spans="10:12" x14ac:dyDescent="0.2">
      <c r="J575">
        <v>568</v>
      </c>
      <c r="K575">
        <v>4.6935931664494852</v>
      </c>
      <c r="L575">
        <v>0.10843177574141782</v>
      </c>
    </row>
    <row r="576" spans="10:12" x14ac:dyDescent="0.2">
      <c r="J576">
        <v>569</v>
      </c>
      <c r="K576">
        <v>4.691553726466732</v>
      </c>
      <c r="L576">
        <v>0.10811299033272791</v>
      </c>
    </row>
    <row r="577" spans="10:12" x14ac:dyDescent="0.2">
      <c r="J577">
        <v>570</v>
      </c>
      <c r="K577">
        <v>4.6895199618903076</v>
      </c>
      <c r="L577">
        <v>0.1077952179481573</v>
      </c>
    </row>
    <row r="578" spans="10:12" x14ac:dyDescent="0.2">
      <c r="J578">
        <v>571</v>
      </c>
      <c r="K578">
        <v>4.6874918549179609</v>
      </c>
      <c r="L578">
        <v>0.10747845454935355</v>
      </c>
    </row>
    <row r="579" spans="10:12" x14ac:dyDescent="0.2">
      <c r="J579">
        <v>572</v>
      </c>
      <c r="K579">
        <v>4.6854693877764246</v>
      </c>
      <c r="L579">
        <v>0.10716269612225365</v>
      </c>
    </row>
    <row r="580" spans="10:12" x14ac:dyDescent="0.2">
      <c r="J580">
        <v>573</v>
      </c>
      <c r="K580">
        <v>4.6834525427218878</v>
      </c>
      <c r="L580">
        <v>0.10684793867687227</v>
      </c>
    </row>
    <row r="581" spans="10:12" x14ac:dyDescent="0.2">
      <c r="J581">
        <v>574</v>
      </c>
      <c r="K581">
        <v>4.6814413020404819</v>
      </c>
      <c r="L581">
        <v>0.10653417824709202</v>
      </c>
    </row>
    <row r="582" spans="10:12" x14ac:dyDescent="0.2">
      <c r="J582">
        <v>575</v>
      </c>
      <c r="K582">
        <v>4.6794356480487282</v>
      </c>
      <c r="L582">
        <v>0.10622141089045636</v>
      </c>
    </row>
    <row r="583" spans="10:12" x14ac:dyDescent="0.2">
      <c r="J583">
        <v>576</v>
      </c>
      <c r="K583">
        <v>4.6774355630939493</v>
      </c>
      <c r="L583">
        <v>0.10590963268796634</v>
      </c>
    </row>
    <row r="584" spans="10:12" x14ac:dyDescent="0.2">
      <c r="J584">
        <v>577</v>
      </c>
      <c r="K584">
        <v>4.6754410295547579</v>
      </c>
      <c r="L584">
        <v>0.10559883974387518</v>
      </c>
    </row>
    <row r="585" spans="10:12" x14ac:dyDescent="0.2">
      <c r="J585">
        <v>578</v>
      </c>
      <c r="K585">
        <v>4.6734520298414264</v>
      </c>
      <c r="L585">
        <v>0.10528902818549023</v>
      </c>
    </row>
    <row r="586" spans="10:12" x14ac:dyDescent="0.2">
      <c r="J586">
        <v>579</v>
      </c>
      <c r="K586">
        <v>4.6714685463963432</v>
      </c>
      <c r="L586">
        <v>0.10498019416297263</v>
      </c>
    </row>
    <row r="587" spans="10:12" x14ac:dyDescent="0.2">
      <c r="J587">
        <v>580</v>
      </c>
      <c r="K587">
        <v>4.6694905616943956</v>
      </c>
      <c r="L587">
        <v>0.10467233384914158</v>
      </c>
    </row>
    <row r="588" spans="10:12" x14ac:dyDescent="0.2">
      <c r="J588">
        <v>581</v>
      </c>
      <c r="K588">
        <v>4.6675180582433899</v>
      </c>
      <c r="L588">
        <v>0.1043654434392788</v>
      </c>
    </row>
    <row r="589" spans="10:12" x14ac:dyDescent="0.2">
      <c r="J589">
        <v>582</v>
      </c>
      <c r="K589">
        <v>4.6655510185844049</v>
      </c>
      <c r="L589">
        <v>0.10405951915093785</v>
      </c>
    </row>
    <row r="590" spans="10:12" x14ac:dyDescent="0.2">
      <c r="J590">
        <v>583</v>
      </c>
      <c r="K590">
        <v>4.663589425292205</v>
      </c>
      <c r="L590">
        <v>0.10375455722375176</v>
      </c>
    </row>
    <row r="591" spans="10:12" x14ac:dyDescent="0.2">
      <c r="J591">
        <v>584</v>
      </c>
      <c r="K591">
        <v>4.6616332609756039</v>
      </c>
      <c r="L591">
        <v>0.1034505539192449</v>
      </c>
    </row>
    <row r="592" spans="10:12" x14ac:dyDescent="0.2">
      <c r="J592">
        <v>585</v>
      </c>
      <c r="K592">
        <v>4.6596825082778155</v>
      </c>
      <c r="L592">
        <v>0.10314750552064686</v>
      </c>
    </row>
    <row r="593" spans="10:12" x14ac:dyDescent="0.2">
      <c r="J593">
        <v>586</v>
      </c>
      <c r="K593">
        <v>4.6577371498768141</v>
      </c>
      <c r="L593">
        <v>0.10284540833270757</v>
      </c>
    </row>
    <row r="594" spans="10:12" x14ac:dyDescent="0.2">
      <c r="J594">
        <v>587</v>
      </c>
      <c r="K594">
        <v>4.6557971684856874</v>
      </c>
      <c r="L594">
        <v>0.10254425868151407</v>
      </c>
    </row>
    <row r="595" spans="10:12" x14ac:dyDescent="0.2">
      <c r="J595">
        <v>588</v>
      </c>
      <c r="K595">
        <v>4.6538625468529773</v>
      </c>
      <c r="L595">
        <v>0.10224405291430906</v>
      </c>
    </row>
    <row r="596" spans="10:12" x14ac:dyDescent="0.2">
      <c r="J596">
        <v>589</v>
      </c>
      <c r="K596">
        <v>4.6519332677629972</v>
      </c>
      <c r="L596">
        <v>0.10194478739931315</v>
      </c>
    </row>
    <row r="597" spans="10:12" x14ac:dyDescent="0.2">
      <c r="J597">
        <v>590</v>
      </c>
      <c r="K597">
        <v>4.6500093140361676</v>
      </c>
      <c r="L597">
        <v>0.10164645852554628</v>
      </c>
    </row>
    <row r="598" spans="10:12" x14ac:dyDescent="0.2">
      <c r="J598">
        <v>591</v>
      </c>
      <c r="K598">
        <v>4.6480906685293046</v>
      </c>
      <c r="L598">
        <v>0.10134906270265384</v>
      </c>
    </row>
    <row r="599" spans="10:12" x14ac:dyDescent="0.2">
      <c r="J599">
        <v>592</v>
      </c>
      <c r="K599">
        <v>4.6461773141359846</v>
      </c>
      <c r="L599">
        <v>0.10105259636073012</v>
      </c>
    </row>
    <row r="600" spans="10:12" x14ac:dyDescent="0.2">
      <c r="J600">
        <v>593</v>
      </c>
      <c r="K600">
        <v>4.6442692337867815</v>
      </c>
      <c r="L600">
        <v>0.10075705595014953</v>
      </c>
    </row>
    <row r="601" spans="10:12" x14ac:dyDescent="0.2">
      <c r="J601">
        <v>594</v>
      </c>
      <c r="K601">
        <v>4.6423664104495881</v>
      </c>
      <c r="L601">
        <v>0.10046243794139481</v>
      </c>
    </row>
    <row r="602" spans="10:12" x14ac:dyDescent="0.2">
      <c r="J602">
        <v>595</v>
      </c>
      <c r="K602">
        <v>4.6404688271299115</v>
      </c>
      <c r="L602">
        <v>0.10016873882488846</v>
      </c>
    </row>
    <row r="603" spans="10:12" x14ac:dyDescent="0.2">
      <c r="J603">
        <v>596</v>
      </c>
      <c r="K603">
        <v>4.6385764668711342</v>
      </c>
      <c r="L603">
        <v>9.987595511082667E-2</v>
      </c>
    </row>
    <row r="604" spans="10:12" x14ac:dyDescent="0.2">
      <c r="J604">
        <v>597</v>
      </c>
      <c r="K604">
        <v>4.636689312754787</v>
      </c>
      <c r="L604">
        <v>9.9584083329014098E-2</v>
      </c>
    </row>
    <row r="605" spans="10:12" x14ac:dyDescent="0.2">
      <c r="J605">
        <v>598</v>
      </c>
      <c r="K605">
        <v>4.6348073479008196</v>
      </c>
      <c r="L605">
        <v>9.9293120028700582E-2</v>
      </c>
    </row>
    <row r="606" spans="10:12" x14ac:dyDescent="0.2">
      <c r="J606">
        <v>599</v>
      </c>
      <c r="K606">
        <v>4.6329305554678655</v>
      </c>
      <c r="L606">
        <v>9.9003061778418902E-2</v>
      </c>
    </row>
    <row r="607" spans="10:12" x14ac:dyDescent="0.2">
      <c r="J607">
        <v>600</v>
      </c>
      <c r="K607">
        <v>4.6310589186534603</v>
      </c>
      <c r="L607">
        <v>9.8713905165826052E-2</v>
      </c>
    </row>
    <row r="608" spans="10:12" x14ac:dyDescent="0.2">
      <c r="J608">
        <v>601</v>
      </c>
      <c r="K608">
        <v>4.6291924206943342</v>
      </c>
      <c r="L608">
        <v>9.8425646797543231E-2</v>
      </c>
    </row>
    <row r="609" spans="10:12" x14ac:dyDescent="0.2">
      <c r="J609">
        <v>602</v>
      </c>
      <c r="K609">
        <v>4.6273310448666107</v>
      </c>
      <c r="L609">
        <v>9.8138283299000248E-2</v>
      </c>
    </row>
    <row r="610" spans="10:12" x14ac:dyDescent="0.2">
      <c r="J610">
        <v>603</v>
      </c>
      <c r="K610">
        <v>4.6254747744860554</v>
      </c>
      <c r="L610">
        <v>9.7851811314279696E-2</v>
      </c>
    </row>
    <row r="611" spans="10:12" x14ac:dyDescent="0.2">
      <c r="J611">
        <v>604</v>
      </c>
      <c r="K611">
        <v>4.6236235929082961</v>
      </c>
      <c r="L611">
        <v>9.7566227505963721E-2</v>
      </c>
    </row>
    <row r="612" spans="10:12" x14ac:dyDescent="0.2">
      <c r="J612">
        <v>605</v>
      </c>
      <c r="K612">
        <v>4.6217774835290495</v>
      </c>
      <c r="L612">
        <v>9.7281528554981359E-2</v>
      </c>
    </row>
    <row r="613" spans="10:12" x14ac:dyDescent="0.2">
      <c r="J613">
        <v>606</v>
      </c>
      <c r="K613">
        <v>4.619936429784314</v>
      </c>
      <c r="L613">
        <v>9.6997711160459035E-2</v>
      </c>
    </row>
    <row r="614" spans="10:12" x14ac:dyDescent="0.2">
      <c r="J614">
        <v>607</v>
      </c>
      <c r="K614">
        <v>4.6181004151506029</v>
      </c>
      <c r="L614">
        <v>9.6714772039570185E-2</v>
      </c>
    </row>
    <row r="615" spans="10:12" x14ac:dyDescent="0.2">
      <c r="J615">
        <v>608</v>
      </c>
      <c r="K615">
        <v>4.6162694231451331</v>
      </c>
      <c r="L615">
        <v>9.6432707927388617E-2</v>
      </c>
    </row>
    <row r="616" spans="10:12" x14ac:dyDescent="0.2">
      <c r="J616">
        <v>609</v>
      </c>
      <c r="K616">
        <v>4.614443437326007</v>
      </c>
      <c r="L616">
        <v>9.6151515576742688E-2</v>
      </c>
    </row>
    <row r="617" spans="10:12" x14ac:dyDescent="0.2">
      <c r="J617">
        <v>610</v>
      </c>
      <c r="K617">
        <v>4.6126224412924275</v>
      </c>
      <c r="L617">
        <v>9.5871191758069726E-2</v>
      </c>
    </row>
    <row r="618" spans="10:12" x14ac:dyDescent="0.2">
      <c r="J618">
        <v>611</v>
      </c>
      <c r="K618">
        <v>4.6108064186848594</v>
      </c>
      <c r="L618">
        <v>9.5591733259274156E-2</v>
      </c>
    </row>
    <row r="619" spans="10:12" x14ac:dyDescent="0.2">
      <c r="J619">
        <v>612</v>
      </c>
      <c r="K619">
        <v>4.6089953531852172</v>
      </c>
      <c r="L619">
        <v>9.5313136885585181E-2</v>
      </c>
    </row>
    <row r="620" spans="10:12" x14ac:dyDescent="0.2">
      <c r="J620">
        <v>613</v>
      </c>
      <c r="K620">
        <v>4.6071892285170373</v>
      </c>
      <c r="L620">
        <v>9.5035399459416497E-2</v>
      </c>
    </row>
    <row r="621" spans="10:12" x14ac:dyDescent="0.2">
      <c r="J621">
        <v>614</v>
      </c>
      <c r="K621">
        <v>4.6053880284456508</v>
      </c>
      <c r="L621">
        <v>9.4758517820227428E-2</v>
      </c>
    </row>
    <row r="622" spans="10:12" x14ac:dyDescent="0.2">
      <c r="J622">
        <v>615</v>
      </c>
      <c r="K622">
        <v>4.6035917367783261</v>
      </c>
      <c r="L622">
        <v>9.4482488824386354E-2</v>
      </c>
    </row>
    <row r="623" spans="10:12" x14ac:dyDescent="0.2">
      <c r="J623">
        <v>616</v>
      </c>
      <c r="K623">
        <v>4.6018003373644412</v>
      </c>
      <c r="L623">
        <v>9.4207309345033685E-2</v>
      </c>
    </row>
    <row r="624" spans="10:12" x14ac:dyDescent="0.2">
      <c r="J624">
        <v>617</v>
      </c>
      <c r="K624">
        <v>4.6000138140956501</v>
      </c>
      <c r="L624">
        <v>9.3932976271946966E-2</v>
      </c>
    </row>
    <row r="625" spans="10:12" x14ac:dyDescent="0.2">
      <c r="J625">
        <v>618</v>
      </c>
      <c r="K625">
        <v>4.5982321509059796</v>
      </c>
      <c r="L625">
        <v>9.3659486511409346E-2</v>
      </c>
    </row>
    <row r="626" spans="10:12" x14ac:dyDescent="0.2">
      <c r="J626">
        <v>619</v>
      </c>
      <c r="K626">
        <v>4.5964553317720256</v>
      </c>
      <c r="L626">
        <v>9.3386836986075361E-2</v>
      </c>
    </row>
    <row r="627" spans="10:12" x14ac:dyDescent="0.2">
      <c r="J627">
        <v>620</v>
      </c>
      <c r="K627">
        <v>4.5946833407130612</v>
      </c>
      <c r="L627">
        <v>9.3115024634841601E-2</v>
      </c>
    </row>
    <row r="628" spans="10:12" x14ac:dyDescent="0.2">
      <c r="J628">
        <v>621</v>
      </c>
      <c r="K628">
        <v>4.5929161617911625</v>
      </c>
      <c r="L628">
        <v>9.2844046412717277E-2</v>
      </c>
    </row>
    <row r="629" spans="10:12" x14ac:dyDescent="0.2">
      <c r="J629">
        <v>622</v>
      </c>
      <c r="K629">
        <v>4.5911537791113606</v>
      </c>
      <c r="L629">
        <v>9.2573899290695275E-2</v>
      </c>
    </row>
    <row r="630" spans="10:12" x14ac:dyDescent="0.2">
      <c r="J630">
        <v>623</v>
      </c>
      <c r="K630">
        <v>4.5893961768217348</v>
      </c>
      <c r="L630">
        <v>9.2304580255626892E-2</v>
      </c>
    </row>
    <row r="631" spans="10:12" x14ac:dyDescent="0.2">
      <c r="J631">
        <v>624</v>
      </c>
      <c r="K631">
        <v>4.5876433391135487</v>
      </c>
      <c r="L631">
        <v>9.2036086310094856E-2</v>
      </c>
    </row>
    <row r="632" spans="10:12" x14ac:dyDescent="0.2">
      <c r="J632">
        <v>625</v>
      </c>
      <c r="K632">
        <v>4.5858952502213688</v>
      </c>
      <c r="L632">
        <v>9.1768414472289395E-2</v>
      </c>
    </row>
    <row r="633" spans="10:12" x14ac:dyDescent="0.2">
      <c r="J633">
        <v>626</v>
      </c>
      <c r="K633">
        <v>4.5841518944231536</v>
      </c>
      <c r="L633">
        <v>9.1501561775885851E-2</v>
      </c>
    </row>
    <row r="634" spans="10:12" x14ac:dyDescent="0.2">
      <c r="J634">
        <v>627</v>
      </c>
      <c r="K634">
        <v>4.5824132560403639</v>
      </c>
      <c r="L634">
        <v>9.1235525269922443E-2</v>
      </c>
    </row>
    <row r="635" spans="10:12" x14ac:dyDescent="0.2">
      <c r="J635">
        <v>628</v>
      </c>
      <c r="K635">
        <v>4.5806793194380679</v>
      </c>
      <c r="L635">
        <v>9.0970302018679644E-2</v>
      </c>
    </row>
    <row r="636" spans="10:12" x14ac:dyDescent="0.2">
      <c r="J636">
        <v>629</v>
      </c>
      <c r="K636">
        <v>4.5789500690250433</v>
      </c>
      <c r="L636">
        <v>9.070588910156055E-2</v>
      </c>
    </row>
    <row r="637" spans="10:12" x14ac:dyDescent="0.2">
      <c r="J637">
        <v>630</v>
      </c>
      <c r="K637">
        <v>4.577225489253844</v>
      </c>
      <c r="L637">
        <v>9.0442283612973365E-2</v>
      </c>
    </row>
    <row r="638" spans="10:12" x14ac:dyDescent="0.2">
      <c r="J638">
        <v>631</v>
      </c>
      <c r="K638">
        <v>4.5755055646209195</v>
      </c>
      <c r="L638">
        <v>9.017948266221347E-2</v>
      </c>
    </row>
    <row r="639" spans="10:12" x14ac:dyDescent="0.2">
      <c r="J639">
        <v>632</v>
      </c>
      <c r="K639">
        <v>4.5737902796666692</v>
      </c>
      <c r="L639">
        <v>8.9917483373348511E-2</v>
      </c>
    </row>
    <row r="640" spans="10:12" x14ac:dyDescent="0.2">
      <c r="J640">
        <v>633</v>
      </c>
      <c r="K640">
        <v>4.5720796189755371</v>
      </c>
      <c r="L640">
        <v>8.9656282885102925E-2</v>
      </c>
    </row>
    <row r="641" spans="10:12" x14ac:dyDescent="0.2">
      <c r="J641">
        <v>634</v>
      </c>
      <c r="K641">
        <v>4.5703735671760892</v>
      </c>
      <c r="L641">
        <v>8.9395878350744404E-2</v>
      </c>
    </row>
    <row r="642" spans="10:12" x14ac:dyDescent="0.2">
      <c r="J642">
        <v>635</v>
      </c>
      <c r="K642">
        <v>4.5686721089410751</v>
      </c>
      <c r="L642">
        <v>8.9136266937971859E-2</v>
      </c>
    </row>
    <row r="643" spans="10:12" x14ac:dyDescent="0.2">
      <c r="J643">
        <v>636</v>
      </c>
      <c r="K643">
        <v>4.5669752289874994</v>
      </c>
      <c r="L643">
        <v>8.8877445828803719E-2</v>
      </c>
    </row>
    <row r="644" spans="10:12" x14ac:dyDescent="0.2">
      <c r="J644">
        <v>637</v>
      </c>
      <c r="K644">
        <v>4.5652829120766922</v>
      </c>
      <c r="L644">
        <v>8.8619412219467605E-2</v>
      </c>
    </row>
    <row r="645" spans="10:12" x14ac:dyDescent="0.2">
      <c r="J645">
        <v>638</v>
      </c>
      <c r="K645">
        <v>4.5635951430143589</v>
      </c>
      <c r="L645">
        <v>8.836216332029144E-2</v>
      </c>
    </row>
    <row r="646" spans="10:12" x14ac:dyDescent="0.2">
      <c r="J646">
        <v>639</v>
      </c>
      <c r="K646">
        <v>4.5619119066506366</v>
      </c>
      <c r="L646">
        <v>8.8105696355595398E-2</v>
      </c>
    </row>
    <row r="647" spans="10:12" x14ac:dyDescent="0.2">
      <c r="J647">
        <v>640</v>
      </c>
      <c r="K647">
        <v>4.560233187880165</v>
      </c>
      <c r="L647">
        <v>8.7850008563584145E-2</v>
      </c>
    </row>
    <row r="648" spans="10:12" x14ac:dyDescent="0.2">
      <c r="J648">
        <v>641</v>
      </c>
      <c r="K648">
        <v>4.5585589716421069</v>
      </c>
      <c r="L648">
        <v>8.7595097196241992E-2</v>
      </c>
    </row>
    <row r="649" spans="10:12" x14ac:dyDescent="0.2">
      <c r="J649">
        <v>642</v>
      </c>
      <c r="K649">
        <v>4.5568892429202226</v>
      </c>
      <c r="L649">
        <v>8.734095951922688E-2</v>
      </c>
    </row>
    <row r="650" spans="10:12" x14ac:dyDescent="0.2">
      <c r="J650">
        <v>643</v>
      </c>
      <c r="K650">
        <v>4.5552239867429023</v>
      </c>
      <c r="L650">
        <v>8.7087592811766826E-2</v>
      </c>
    </row>
    <row r="651" spans="10:12" x14ac:dyDescent="0.2">
      <c r="J651">
        <v>644</v>
      </c>
      <c r="K651">
        <v>4.5535631881831868</v>
      </c>
      <c r="L651">
        <v>8.6834994366557769E-2</v>
      </c>
    </row>
    <row r="652" spans="10:12" x14ac:dyDescent="0.2">
      <c r="J652">
        <v>645</v>
      </c>
      <c r="K652">
        <v>4.5519068323588385</v>
      </c>
      <c r="L652">
        <v>8.6583161489660346E-2</v>
      </c>
    </row>
    <row r="653" spans="10:12" x14ac:dyDescent="0.2">
      <c r="J653">
        <v>646</v>
      </c>
      <c r="K653">
        <v>4.5502549044323448</v>
      </c>
      <c r="L653">
        <v>8.6332091500400082E-2</v>
      </c>
    </row>
    <row r="654" spans="10:12" x14ac:dyDescent="0.2">
      <c r="J654">
        <v>647</v>
      </c>
      <c r="K654">
        <v>4.5486073896109724</v>
      </c>
      <c r="L654">
        <v>8.6081781731266557E-2</v>
      </c>
    </row>
    <row r="655" spans="10:12" x14ac:dyDescent="0.2">
      <c r="J655">
        <v>648</v>
      </c>
      <c r="K655">
        <v>4.5469642731467603</v>
      </c>
      <c r="L655">
        <v>8.583222952781594E-2</v>
      </c>
    </row>
    <row r="656" spans="10:12" x14ac:dyDescent="0.2">
      <c r="J656">
        <v>649</v>
      </c>
      <c r="K656">
        <v>4.5453255403365764</v>
      </c>
      <c r="L656">
        <v>8.5583432248571484E-2</v>
      </c>
    </row>
    <row r="657" spans="10:12" x14ac:dyDescent="0.2">
      <c r="J657">
        <v>650</v>
      </c>
      <c r="K657">
        <v>4.5436911765221346</v>
      </c>
      <c r="L657">
        <v>8.5335387264926774E-2</v>
      </c>
    </row>
    <row r="658" spans="10:12" x14ac:dyDescent="0.2">
      <c r="J658">
        <v>651</v>
      </c>
      <c r="K658">
        <v>4.5420611670899849</v>
      </c>
      <c r="L658">
        <v>8.5088091961050841E-2</v>
      </c>
    </row>
    <row r="659" spans="10:12" x14ac:dyDescent="0.2">
      <c r="J659">
        <v>652</v>
      </c>
      <c r="K659">
        <v>4.5404354974715604</v>
      </c>
      <c r="L659">
        <v>8.4841543733791519E-2</v>
      </c>
    </row>
    <row r="660" spans="10:12" x14ac:dyDescent="0.2">
      <c r="J660">
        <v>653</v>
      </c>
      <c r="K660">
        <v>4.5388141531431687</v>
      </c>
      <c r="L660">
        <v>8.4595739992582367E-2</v>
      </c>
    </row>
    <row r="661" spans="10:12" x14ac:dyDescent="0.2">
      <c r="J661">
        <v>654</v>
      </c>
      <c r="K661">
        <v>4.5371971196260059</v>
      </c>
      <c r="L661">
        <v>8.435067815934888E-2</v>
      </c>
    </row>
    <row r="662" spans="10:12" x14ac:dyDescent="0.2">
      <c r="J662">
        <v>655</v>
      </c>
      <c r="K662">
        <v>4.5355843824861779</v>
      </c>
      <c r="L662">
        <v>8.4106355668415622E-2</v>
      </c>
    </row>
    <row r="663" spans="10:12" x14ac:dyDescent="0.2">
      <c r="J663">
        <v>656</v>
      </c>
      <c r="K663">
        <v>4.5339759273346782</v>
      </c>
      <c r="L663">
        <v>8.3862769966415937E-2</v>
      </c>
    </row>
    <row r="664" spans="10:12" x14ac:dyDescent="0.2">
      <c r="J664">
        <v>657</v>
      </c>
      <c r="K664">
        <v>4.5323717398274024</v>
      </c>
      <c r="L664">
        <v>8.3619918512200478E-2</v>
      </c>
    </row>
    <row r="665" spans="10:12" x14ac:dyDescent="0.2">
      <c r="J665">
        <v>658</v>
      </c>
      <c r="K665">
        <v>4.530771805665152</v>
      </c>
      <c r="L665">
        <v>8.3377798776747503E-2</v>
      </c>
    </row>
    <row r="666" spans="10:12" x14ac:dyDescent="0.2">
      <c r="J666">
        <v>659</v>
      </c>
      <c r="K666">
        <v>4.5291761105936263</v>
      </c>
      <c r="L666">
        <v>8.313640824307407E-2</v>
      </c>
    </row>
    <row r="667" spans="10:12" x14ac:dyDescent="0.2">
      <c r="J667">
        <v>660</v>
      </c>
      <c r="K667">
        <v>4.5275846404034015</v>
      </c>
      <c r="L667">
        <v>8.2895744406148678E-2</v>
      </c>
    </row>
    <row r="668" spans="10:12" x14ac:dyDescent="0.2">
      <c r="J668">
        <v>661</v>
      </c>
      <c r="K668">
        <v>4.5259973809299421</v>
      </c>
      <c r="L668">
        <v>8.2655804772803224E-2</v>
      </c>
    </row>
    <row r="669" spans="10:12" x14ac:dyDescent="0.2">
      <c r="J669">
        <v>662</v>
      </c>
      <c r="K669">
        <v>4.5244143180535854</v>
      </c>
      <c r="L669">
        <v>8.2416586861646796E-2</v>
      </c>
    </row>
    <row r="670" spans="10:12" x14ac:dyDescent="0.2">
      <c r="J670">
        <v>663</v>
      </c>
      <c r="K670">
        <v>4.5228354376995137</v>
      </c>
      <c r="L670">
        <v>8.2178088202980684E-2</v>
      </c>
    </row>
    <row r="671" spans="10:12" x14ac:dyDescent="0.2">
      <c r="J671">
        <v>664</v>
      </c>
      <c r="K671">
        <v>4.5212607258377435</v>
      </c>
      <c r="L671">
        <v>8.1940306338713839E-2</v>
      </c>
    </row>
    <row r="672" spans="10:12" x14ac:dyDescent="0.2">
      <c r="J672">
        <v>665</v>
      </c>
      <c r="K672">
        <v>4.5196901684831321</v>
      </c>
      <c r="L672">
        <v>8.1703238822277605E-2</v>
      </c>
    </row>
    <row r="673" spans="10:12" x14ac:dyDescent="0.2">
      <c r="J673">
        <v>666</v>
      </c>
      <c r="K673">
        <v>4.5181237516953061</v>
      </c>
      <c r="L673">
        <v>8.1466883218544894E-2</v>
      </c>
    </row>
    <row r="674" spans="10:12" x14ac:dyDescent="0.2">
      <c r="J674">
        <v>667</v>
      </c>
      <c r="K674">
        <v>4.5165614615786911</v>
      </c>
      <c r="L674">
        <v>8.1231237103745649E-2</v>
      </c>
    </row>
    <row r="675" spans="10:12" x14ac:dyDescent="0.2">
      <c r="J675">
        <v>668</v>
      </c>
      <c r="K675">
        <v>4.5150032842824466</v>
      </c>
      <c r="L675">
        <v>8.0996298065387232E-2</v>
      </c>
    </row>
    <row r="676" spans="10:12" x14ac:dyDescent="0.2">
      <c r="J676">
        <v>669</v>
      </c>
      <c r="K676">
        <v>4.5134492060004581</v>
      </c>
      <c r="L676">
        <v>8.0762063702172676E-2</v>
      </c>
    </row>
    <row r="677" spans="10:12" x14ac:dyDescent="0.2">
      <c r="J677">
        <v>670</v>
      </c>
      <c r="K677">
        <v>4.5118992129713087</v>
      </c>
      <c r="L677">
        <v>8.0528531623920943E-2</v>
      </c>
    </row>
    <row r="678" spans="10:12" x14ac:dyDescent="0.2">
      <c r="J678">
        <v>671</v>
      </c>
      <c r="K678">
        <v>4.5103532914782436</v>
      </c>
      <c r="L678">
        <v>8.0295699451487887E-2</v>
      </c>
    </row>
    <row r="679" spans="10:12" x14ac:dyDescent="0.2">
      <c r="J679">
        <v>672</v>
      </c>
      <c r="K679">
        <v>4.5088114278491256</v>
      </c>
      <c r="L679">
        <v>8.0063564816687846E-2</v>
      </c>
    </row>
    <row r="680" spans="10:12" x14ac:dyDescent="0.2">
      <c r="J680">
        <v>673</v>
      </c>
      <c r="K680">
        <v>4.5072736084564147</v>
      </c>
      <c r="L680">
        <v>7.9832125362216205E-2</v>
      </c>
    </row>
    <row r="681" spans="10:12" x14ac:dyDescent="0.2">
      <c r="J681">
        <v>674</v>
      </c>
      <c r="K681">
        <v>4.5057398197171237</v>
      </c>
      <c r="L681">
        <v>7.9601378741572013E-2</v>
      </c>
    </row>
    <row r="682" spans="10:12" x14ac:dyDescent="0.2">
      <c r="J682">
        <v>675</v>
      </c>
      <c r="K682">
        <v>4.5042100480927756</v>
      </c>
      <c r="L682">
        <v>7.9371322618982096E-2</v>
      </c>
    </row>
    <row r="683" spans="10:12" x14ac:dyDescent="0.2">
      <c r="J683">
        <v>676</v>
      </c>
      <c r="K683">
        <v>4.5026842800893832</v>
      </c>
      <c r="L683">
        <v>7.914195466932511E-2</v>
      </c>
    </row>
    <row r="684" spans="10:12" x14ac:dyDescent="0.2">
      <c r="J684">
        <v>677</v>
      </c>
      <c r="K684">
        <v>4.5011625022573662</v>
      </c>
      <c r="L684">
        <v>7.8913272578057816E-2</v>
      </c>
    </row>
    <row r="685" spans="10:12" x14ac:dyDescent="0.2">
      <c r="J685">
        <v>678</v>
      </c>
      <c r="K685">
        <v>4.499644701191535</v>
      </c>
      <c r="L685">
        <v>7.8685274041140285E-2</v>
      </c>
    </row>
    <row r="686" spans="10:12" x14ac:dyDescent="0.2">
      <c r="J686">
        <v>679</v>
      </c>
      <c r="K686">
        <v>4.4981308635310535</v>
      </c>
      <c r="L686">
        <v>7.8457956764962034E-2</v>
      </c>
    </row>
    <row r="687" spans="10:12" x14ac:dyDescent="0.2">
      <c r="J687">
        <v>680</v>
      </c>
      <c r="K687">
        <v>4.4966209759593552</v>
      </c>
      <c r="L687">
        <v>7.8231318466270683E-2</v>
      </c>
    </row>
    <row r="688" spans="10:12" x14ac:dyDescent="0.2">
      <c r="J688">
        <v>681</v>
      </c>
      <c r="K688">
        <v>4.4951150252041154</v>
      </c>
      <c r="L688">
        <v>7.8005356872099169E-2</v>
      </c>
    </row>
    <row r="689" spans="10:12" x14ac:dyDescent="0.2">
      <c r="J689">
        <v>682</v>
      </c>
      <c r="K689">
        <v>4.4936129980372019</v>
      </c>
      <c r="L689">
        <v>7.7780069719694464E-2</v>
      </c>
    </row>
    <row r="690" spans="10:12" x14ac:dyDescent="0.2">
      <c r="J690">
        <v>683</v>
      </c>
      <c r="K690">
        <v>4.4921148812746159</v>
      </c>
      <c r="L690">
        <v>7.7555454756446915E-2</v>
      </c>
    </row>
    <row r="691" spans="10:12" x14ac:dyDescent="0.2">
      <c r="J691">
        <v>684</v>
      </c>
      <c r="K691">
        <v>4.4906206617764264</v>
      </c>
      <c r="L691">
        <v>7.7331509739820947E-2</v>
      </c>
    </row>
    <row r="692" spans="10:12" x14ac:dyDescent="0.2">
      <c r="J692">
        <v>685</v>
      </c>
      <c r="K692">
        <v>4.4891303264467348</v>
      </c>
      <c r="L692">
        <v>7.710823243728461E-2</v>
      </c>
    </row>
    <row r="693" spans="10:12" x14ac:dyDescent="0.2">
      <c r="J693">
        <v>686</v>
      </c>
      <c r="K693">
        <v>4.4876438622335941</v>
      </c>
      <c r="L693">
        <v>7.6885620626242157E-2</v>
      </c>
    </row>
    <row r="694" spans="10:12" x14ac:dyDescent="0.2">
      <c r="J694">
        <v>687</v>
      </c>
      <c r="K694">
        <v>4.4861612561289643</v>
      </c>
      <c r="L694">
        <v>7.6663672093965171E-2</v>
      </c>
    </row>
    <row r="695" spans="10:12" x14ac:dyDescent="0.2">
      <c r="J695">
        <v>688</v>
      </c>
      <c r="K695">
        <v>4.4846824951686513</v>
      </c>
      <c r="L695">
        <v>7.644238463752516E-2</v>
      </c>
    </row>
    <row r="696" spans="10:12" x14ac:dyDescent="0.2">
      <c r="J696">
        <v>689</v>
      </c>
      <c r="K696">
        <v>4.4832075664322266</v>
      </c>
      <c r="L696">
        <v>7.6221756063727775E-2</v>
      </c>
    </row>
    <row r="697" spans="10:12" x14ac:dyDescent="0.2">
      <c r="J697">
        <v>690</v>
      </c>
      <c r="K697">
        <v>4.4817364570429827</v>
      </c>
      <c r="L697">
        <v>7.6001784189045546E-2</v>
      </c>
    </row>
    <row r="698" spans="10:12" x14ac:dyDescent="0.2">
      <c r="J698">
        <v>691</v>
      </c>
      <c r="K698">
        <v>4.4802691541678588</v>
      </c>
      <c r="L698">
        <v>7.5782466839552962E-2</v>
      </c>
    </row>
    <row r="699" spans="10:12" x14ac:dyDescent="0.2">
      <c r="J699">
        <v>692</v>
      </c>
      <c r="K699">
        <v>4.4788056450173777</v>
      </c>
      <c r="L699">
        <v>7.556380185086134E-2</v>
      </c>
    </row>
    <row r="700" spans="10:12" x14ac:dyDescent="0.2">
      <c r="J700">
        <v>693</v>
      </c>
      <c r="K700">
        <v>4.4773459168455707</v>
      </c>
      <c r="L700">
        <v>7.5345787068054698E-2</v>
      </c>
    </row>
    <row r="701" spans="10:12" x14ac:dyDescent="0.2">
      <c r="J701">
        <v>694</v>
      </c>
      <c r="K701">
        <v>4.4758899569499047</v>
      </c>
      <c r="L701">
        <v>7.5128420345626223E-2</v>
      </c>
    </row>
    <row r="702" spans="10:12" x14ac:dyDescent="0.2">
      <c r="J702">
        <v>695</v>
      </c>
      <c r="K702">
        <v>4.4744377526712302</v>
      </c>
      <c r="L702">
        <v>7.4911699547414584E-2</v>
      </c>
    </row>
    <row r="703" spans="10:12" x14ac:dyDescent="0.2">
      <c r="J703">
        <v>696</v>
      </c>
      <c r="K703">
        <v>4.4729892913936888</v>
      </c>
      <c r="L703">
        <v>7.4695622546541787E-2</v>
      </c>
    </row>
    <row r="704" spans="10:12" x14ac:dyDescent="0.2">
      <c r="J704">
        <v>697</v>
      </c>
      <c r="K704">
        <v>4.471544560544646</v>
      </c>
      <c r="L704">
        <v>7.4480187225351491E-2</v>
      </c>
    </row>
    <row r="705" spans="10:12" x14ac:dyDescent="0.2">
      <c r="J705">
        <v>698</v>
      </c>
      <c r="K705">
        <v>4.4701035475946247</v>
      </c>
      <c r="L705">
        <v>7.426539147534679E-2</v>
      </c>
    </row>
    <row r="706" spans="10:12" x14ac:dyDescent="0.2">
      <c r="J706">
        <v>699</v>
      </c>
      <c r="K706">
        <v>4.4686662400572157</v>
      </c>
      <c r="L706">
        <v>7.4051233197130265E-2</v>
      </c>
    </row>
    <row r="707" spans="10:12" x14ac:dyDescent="0.2">
      <c r="J707">
        <v>700</v>
      </c>
      <c r="K707">
        <v>4.4672326254890082</v>
      </c>
      <c r="L707">
        <v>7.3837710300343404E-2</v>
      </c>
    </row>
    <row r="708" spans="10:12" x14ac:dyDescent="0.2">
      <c r="J708">
        <v>701</v>
      </c>
      <c r="K708">
        <v>4.4658026914895084</v>
      </c>
      <c r="L708">
        <v>7.3624820703606805E-2</v>
      </c>
    </row>
    <row r="709" spans="10:12" x14ac:dyDescent="0.2">
      <c r="J709">
        <v>702</v>
      </c>
      <c r="K709">
        <v>4.4643764257010679</v>
      </c>
      <c r="L709">
        <v>7.3412562334460862E-2</v>
      </c>
    </row>
    <row r="710" spans="10:12" x14ac:dyDescent="0.2">
      <c r="J710">
        <v>703</v>
      </c>
      <c r="K710">
        <v>4.4629538158087918</v>
      </c>
      <c r="L710">
        <v>7.3200933129307713E-2</v>
      </c>
    </row>
    <row r="711" spans="10:12" x14ac:dyDescent="0.2">
      <c r="J711">
        <v>704</v>
      </c>
      <c r="K711">
        <v>4.4615348495404623</v>
      </c>
      <c r="L711">
        <v>7.2989931033352662E-2</v>
      </c>
    </row>
    <row r="712" spans="10:12" x14ac:dyDescent="0.2">
      <c r="J712">
        <v>705</v>
      </c>
      <c r="K712">
        <v>4.4601195146664541</v>
      </c>
      <c r="L712">
        <v>7.2779554000547059E-2</v>
      </c>
    </row>
    <row r="713" spans="10:12" x14ac:dyDescent="0.2">
      <c r="J713">
        <v>706</v>
      </c>
      <c r="K713">
        <v>4.4587077989996597</v>
      </c>
      <c r="L713">
        <v>7.2569799993530568E-2</v>
      </c>
    </row>
    <row r="714" spans="10:12" x14ac:dyDescent="0.2">
      <c r="J714">
        <v>707</v>
      </c>
      <c r="K714">
        <v>4.4572996903954012</v>
      </c>
      <c r="L714">
        <v>7.2360666983575087E-2</v>
      </c>
    </row>
    <row r="715" spans="10:12" x14ac:dyDescent="0.2">
      <c r="J715">
        <v>708</v>
      </c>
      <c r="K715">
        <v>4.4558951767513157</v>
      </c>
      <c r="L715">
        <v>7.2152152950529763E-2</v>
      </c>
    </row>
    <row r="716" spans="10:12" x14ac:dyDescent="0.2">
      <c r="J716">
        <v>709</v>
      </c>
      <c r="K716">
        <v>4.4544942460073242</v>
      </c>
      <c r="L716">
        <v>7.1944255882763417E-2</v>
      </c>
    </row>
    <row r="717" spans="10:12" x14ac:dyDescent="0.2">
      <c r="J717">
        <v>710</v>
      </c>
      <c r="K717">
        <v>4.4530968861455031</v>
      </c>
      <c r="L717">
        <v>7.1736973777111052E-2</v>
      </c>
    </row>
    <row r="718" spans="10:12" x14ac:dyDescent="0.2">
      <c r="J718">
        <v>711</v>
      </c>
      <c r="K718">
        <v>4.4517030851900046</v>
      </c>
      <c r="L718">
        <v>7.1530304638819153E-2</v>
      </c>
    </row>
    <row r="719" spans="10:12" x14ac:dyDescent="0.2">
      <c r="J719">
        <v>712</v>
      </c>
      <c r="K719">
        <v>4.4503128312069595</v>
      </c>
      <c r="L719">
        <v>7.1324246481491937E-2</v>
      </c>
    </row>
    <row r="720" spans="10:12" x14ac:dyDescent="0.2">
      <c r="J720">
        <v>713</v>
      </c>
      <c r="K720">
        <v>4.4489261123044255</v>
      </c>
      <c r="L720">
        <v>7.1118797327036409E-2</v>
      </c>
    </row>
    <row r="721" spans="10:12" x14ac:dyDescent="0.2">
      <c r="J721">
        <v>714</v>
      </c>
      <c r="K721">
        <v>4.4475429166322407</v>
      </c>
      <c r="L721">
        <v>7.0913955205611418E-2</v>
      </c>
    </row>
    <row r="722" spans="10:12" x14ac:dyDescent="0.2">
      <c r="J722">
        <v>715</v>
      </c>
      <c r="K722">
        <v>4.44616323238197</v>
      </c>
      <c r="L722">
        <v>7.0709718155573767E-2</v>
      </c>
    </row>
    <row r="723" spans="10:12" x14ac:dyDescent="0.2">
      <c r="J723">
        <v>716</v>
      </c>
      <c r="K723">
        <v>4.4447870477867992</v>
      </c>
      <c r="L723">
        <v>7.050608422342651E-2</v>
      </c>
    </row>
    <row r="724" spans="10:12" x14ac:dyDescent="0.2">
      <c r="J724">
        <v>717</v>
      </c>
      <c r="K724">
        <v>4.4434143511214481</v>
      </c>
      <c r="L724">
        <v>7.030305146376728E-2</v>
      </c>
    </row>
    <row r="725" spans="10:12" x14ac:dyDescent="0.2">
      <c r="J725">
        <v>718</v>
      </c>
      <c r="K725">
        <v>4.4420451307020627</v>
      </c>
      <c r="L725">
        <v>7.0100617939237511E-2</v>
      </c>
    </row>
    <row r="726" spans="10:12" x14ac:dyDescent="0.2">
      <c r="J726">
        <v>719</v>
      </c>
      <c r="K726">
        <v>4.440679374886134</v>
      </c>
      <c r="L726">
        <v>6.9898781720471259E-2</v>
      </c>
    </row>
    <row r="727" spans="10:12" x14ac:dyDescent="0.2">
      <c r="J727">
        <v>720</v>
      </c>
      <c r="K727">
        <v>4.4393170720724004</v>
      </c>
      <c r="L727">
        <v>6.9697540886045156E-2</v>
      </c>
    </row>
  </sheetData>
  <mergeCells count="11">
    <mergeCell ref="B21:H21"/>
    <mergeCell ref="B6:H6"/>
    <mergeCell ref="B16:H16"/>
    <mergeCell ref="C17:E17"/>
    <mergeCell ref="A2:J2"/>
    <mergeCell ref="B19:H19"/>
    <mergeCell ref="J5:L5"/>
    <mergeCell ref="A1:J1"/>
    <mergeCell ref="B8:H8"/>
    <mergeCell ref="C5:E5"/>
    <mergeCell ref="B4:H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workbookViewId="0"/>
  </sheetViews>
  <sheetFormatPr baseColWidth="10" defaultColWidth="8.83203125" defaultRowHeight="15" x14ac:dyDescent="0.2"/>
  <cols>
    <col min="1" max="1" width="3" customWidth="1"/>
    <col min="2" max="2" width="26" customWidth="1"/>
    <col min="3" max="5" width="16" customWidth="1"/>
    <col min="6" max="6" width="4" customWidth="1"/>
    <col min="7" max="10" width="14" customWidth="1"/>
  </cols>
  <sheetData>
    <row r="1" spans="1:10" ht="34" customHeight="1" x14ac:dyDescent="0.2">
      <c r="A1" s="25" t="s">
        <v>14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8" customHeight="1" x14ac:dyDescent="0.2">
      <c r="A2" s="23" t="s">
        <v>72</v>
      </c>
      <c r="B2" s="24"/>
      <c r="C2" s="24"/>
      <c r="D2" s="24"/>
      <c r="E2" s="24"/>
      <c r="F2" s="24"/>
      <c r="G2" s="24"/>
      <c r="H2" s="24"/>
      <c r="I2" s="24"/>
      <c r="J2" s="24"/>
    </row>
    <row r="4" spans="1:10" ht="17" x14ac:dyDescent="0.2">
      <c r="B4" s="21" t="s">
        <v>73</v>
      </c>
      <c r="C4" s="22"/>
      <c r="D4" s="22"/>
      <c r="E4" s="22"/>
      <c r="F4" s="22"/>
      <c r="G4" s="22"/>
      <c r="H4" s="22"/>
    </row>
    <row r="5" spans="1:10" x14ac:dyDescent="0.2">
      <c r="B5" s="2" t="s">
        <v>50</v>
      </c>
      <c r="C5" s="4">
        <f>DATE(2024,3,15)</f>
        <v>45366</v>
      </c>
    </row>
    <row r="6" spans="1:10" x14ac:dyDescent="0.2">
      <c r="B6" s="2" t="s">
        <v>74</v>
      </c>
      <c r="C6" s="6" cm="1">
        <f t="array" ref="C6">_xldudf_ALM_SONIA($C$5)</f>
        <v>5.1894</v>
      </c>
    </row>
    <row r="7" spans="1:10" x14ac:dyDescent="0.2">
      <c r="B7" s="2" t="s">
        <v>75</v>
      </c>
      <c r="C7" s="6" cm="1">
        <f t="array" ref="C7">_xldudf_ALM_BANKRATE($C$5)</f>
        <v>5.25</v>
      </c>
    </row>
    <row r="8" spans="1:10" x14ac:dyDescent="0.2">
      <c r="B8" s="2" t="s">
        <v>76</v>
      </c>
      <c r="C8" s="11" cm="1">
        <f t="array" ref="C8">_xldudf_ALM_SONIA_INDEX($C$5)</f>
        <v>108.80173268</v>
      </c>
    </row>
    <row r="9" spans="1:10" x14ac:dyDescent="0.2">
      <c r="B9" s="2" t="s">
        <v>77</v>
      </c>
      <c r="C9" s="13" cm="1">
        <f t="array" ref="C9">_xldudf_ALM_STERLING_ERI($C$5)</f>
        <v>82.943600000000004</v>
      </c>
    </row>
    <row r="10" spans="1:10" x14ac:dyDescent="0.2">
      <c r="B10" s="2" t="s">
        <v>41</v>
      </c>
      <c r="C10" s="6" cm="1">
        <f t="array" ref="C10">_xldudf_ALM_SONIA(DATE(2024,3,16),TRUE)</f>
        <v>5.1894</v>
      </c>
    </row>
    <row r="11" spans="1:10" x14ac:dyDescent="0.2">
      <c r="B11" s="26" t="s">
        <v>78</v>
      </c>
      <c r="C11" s="22"/>
      <c r="D11" s="22"/>
      <c r="E11" s="22"/>
      <c r="F11" s="22"/>
      <c r="G11" s="22"/>
      <c r="H11" s="22"/>
    </row>
    <row r="13" spans="1:10" ht="17" x14ac:dyDescent="0.2">
      <c r="B13" s="21" t="s">
        <v>79</v>
      </c>
      <c r="C13" s="22"/>
      <c r="D13" s="22"/>
      <c r="E13" s="22"/>
      <c r="F13" s="22"/>
      <c r="G13" s="22"/>
      <c r="H13" s="22"/>
    </row>
    <row r="14" spans="1:10" x14ac:dyDescent="0.2">
      <c r="B14" s="5" t="s">
        <v>80</v>
      </c>
      <c r="C14" s="5" t="s">
        <v>81</v>
      </c>
      <c r="D14" s="5" t="s">
        <v>82</v>
      </c>
      <c r="E14" s="5" t="s">
        <v>83</v>
      </c>
    </row>
    <row r="15" spans="1:10" x14ac:dyDescent="0.2">
      <c r="B15" s="11" cm="1">
        <f t="array" ref="B15">_xldudf_ALM_FX("USD",$C$5)</f>
        <v>1.274</v>
      </c>
      <c r="C15" s="11" cm="1">
        <f t="array" ref="C15">_xldudf_ALM_FX("EUR",$C$5)</f>
        <v>1.1700999999999999</v>
      </c>
      <c r="D15" s="11" cm="1">
        <f t="array" ref="D15">_xldudf_ALM_FX("JPY",$C$5)</f>
        <v>189.99799999999999</v>
      </c>
      <c r="E15" s="11" cm="1">
        <f t="array" ref="E15">_xldudf_ALM_FX("CHF",$C$5)</f>
        <v>1.1257999999999999</v>
      </c>
    </row>
    <row r="16" spans="1:10" x14ac:dyDescent="0.2">
      <c r="B16" s="26" t="s">
        <v>84</v>
      </c>
      <c r="C16" s="22"/>
      <c r="D16" s="22"/>
      <c r="E16" s="22"/>
      <c r="F16" s="22"/>
      <c r="G16" s="22"/>
      <c r="H16" s="22"/>
    </row>
    <row r="18" spans="2:8" ht="17" x14ac:dyDescent="0.2">
      <c r="B18" s="21" t="s">
        <v>85</v>
      </c>
      <c r="C18" s="22"/>
      <c r="D18" s="22"/>
      <c r="E18" s="22"/>
      <c r="F18" s="22"/>
      <c r="G18" s="22"/>
      <c r="H18" s="22"/>
    </row>
    <row r="19" spans="2:8" x14ac:dyDescent="0.2">
      <c r="B19" s="5" t="s">
        <v>50</v>
      </c>
      <c r="C19" s="5" t="s">
        <v>86</v>
      </c>
      <c r="D19" s="5" t="s">
        <v>87</v>
      </c>
    </row>
    <row r="20" spans="2:8" x14ac:dyDescent="0.2">
      <c r="B20" s="4">
        <v>45628</v>
      </c>
      <c r="C20" s="6" cm="1">
        <f t="array" ref="C20:C39">_xldudf_ALM_SONIA(B20:B39)</f>
        <v>4.7</v>
      </c>
      <c r="D20" s="11" cm="1">
        <f t="array" ref="D20:D39">_xldudf_ALM_FX("USD",B20:B39)</f>
        <v>1.2628999999999999</v>
      </c>
    </row>
    <row r="21" spans="2:8" x14ac:dyDescent="0.2">
      <c r="B21" s="4">
        <v>45629</v>
      </c>
      <c r="C21" s="10">
        <v>4.7</v>
      </c>
      <c r="D21" s="12">
        <v>1.2662</v>
      </c>
    </row>
    <row r="22" spans="2:8" x14ac:dyDescent="0.2">
      <c r="B22" s="4">
        <v>45630</v>
      </c>
      <c r="C22" s="10">
        <v>4.7</v>
      </c>
      <c r="D22" s="12">
        <v>1.2707999999999999</v>
      </c>
    </row>
    <row r="23" spans="2:8" x14ac:dyDescent="0.2">
      <c r="B23" s="4">
        <v>45631</v>
      </c>
      <c r="C23" s="10">
        <v>4.7</v>
      </c>
      <c r="D23" s="12">
        <v>1.2757000000000001</v>
      </c>
    </row>
    <row r="24" spans="2:8" x14ac:dyDescent="0.2">
      <c r="B24" s="4">
        <v>45632</v>
      </c>
      <c r="C24" s="10">
        <v>4.7</v>
      </c>
      <c r="D24" s="12">
        <v>1.2743</v>
      </c>
    </row>
    <row r="25" spans="2:8" x14ac:dyDescent="0.2">
      <c r="B25" s="4">
        <v>45635</v>
      </c>
      <c r="C25" s="10">
        <v>4.7</v>
      </c>
      <c r="D25" s="12">
        <v>1.2796000000000001</v>
      </c>
    </row>
    <row r="26" spans="2:8" x14ac:dyDescent="0.2">
      <c r="B26" s="4">
        <v>45636</v>
      </c>
      <c r="C26" s="10">
        <v>4.7</v>
      </c>
      <c r="D26" s="12">
        <v>1.2738</v>
      </c>
    </row>
    <row r="27" spans="2:8" x14ac:dyDescent="0.2">
      <c r="B27" s="4">
        <v>45637</v>
      </c>
      <c r="C27" s="10">
        <v>4.7</v>
      </c>
      <c r="D27" s="12">
        <v>1.2744</v>
      </c>
    </row>
    <row r="28" spans="2:8" x14ac:dyDescent="0.2">
      <c r="B28" s="4">
        <v>45638</v>
      </c>
      <c r="C28" s="10">
        <v>4.7</v>
      </c>
      <c r="D28" s="12">
        <v>1.2689999999999999</v>
      </c>
    </row>
    <row r="29" spans="2:8" x14ac:dyDescent="0.2">
      <c r="B29" s="4">
        <v>45639</v>
      </c>
      <c r="C29" s="10">
        <v>4.7</v>
      </c>
      <c r="D29" s="12">
        <v>1.2614000000000001</v>
      </c>
    </row>
    <row r="30" spans="2:8" x14ac:dyDescent="0.2">
      <c r="B30" s="4">
        <v>45642</v>
      </c>
      <c r="C30" s="10">
        <v>4.7</v>
      </c>
      <c r="D30" s="12">
        <v>1.2690999999999999</v>
      </c>
    </row>
    <row r="31" spans="2:8" x14ac:dyDescent="0.2">
      <c r="B31" s="4">
        <v>45643</v>
      </c>
      <c r="C31" s="10">
        <v>4.7</v>
      </c>
      <c r="D31" s="12">
        <v>1.2710999999999999</v>
      </c>
    </row>
    <row r="32" spans="2:8" x14ac:dyDescent="0.2">
      <c r="B32" s="4">
        <v>45644</v>
      </c>
      <c r="C32" s="10">
        <v>4.7</v>
      </c>
      <c r="D32" s="12">
        <v>1.2693000000000001</v>
      </c>
    </row>
    <row r="33" spans="2:4" x14ac:dyDescent="0.2">
      <c r="B33" s="4">
        <v>45645</v>
      </c>
      <c r="C33" s="10">
        <v>4.7</v>
      </c>
      <c r="D33" s="12">
        <v>1.2551000000000001</v>
      </c>
    </row>
    <row r="34" spans="2:4" x14ac:dyDescent="0.2">
      <c r="B34" s="4">
        <v>45646</v>
      </c>
      <c r="C34" s="10">
        <v>4.7</v>
      </c>
      <c r="D34" s="12">
        <v>1.2541</v>
      </c>
    </row>
    <row r="35" spans="2:4" x14ac:dyDescent="0.2">
      <c r="B35" s="4">
        <v>45649</v>
      </c>
      <c r="C35" s="10">
        <v>4.7</v>
      </c>
      <c r="D35" s="12">
        <v>1.2519</v>
      </c>
    </row>
    <row r="36" spans="2:4" x14ac:dyDescent="0.2">
      <c r="B36" s="4">
        <v>45650</v>
      </c>
      <c r="C36" s="10">
        <v>4.7</v>
      </c>
      <c r="D36" s="12">
        <v>1.2539</v>
      </c>
    </row>
    <row r="37" spans="2:4" x14ac:dyDescent="0.2">
      <c r="B37" s="4">
        <v>45653</v>
      </c>
      <c r="C37" s="10">
        <v>4.7</v>
      </c>
      <c r="D37" s="12">
        <v>1.2577</v>
      </c>
    </row>
    <row r="38" spans="2:4" x14ac:dyDescent="0.2">
      <c r="B38" s="4">
        <v>45656</v>
      </c>
      <c r="C38" s="10">
        <v>4.7</v>
      </c>
      <c r="D38" s="12">
        <v>1.2511000000000001</v>
      </c>
    </row>
    <row r="39" spans="2:4" x14ac:dyDescent="0.2">
      <c r="B39" s="4">
        <v>45657</v>
      </c>
      <c r="C39" s="10">
        <v>4.7003000000000004</v>
      </c>
      <c r="D39" s="12">
        <v>1.2528999999999999</v>
      </c>
    </row>
  </sheetData>
  <mergeCells count="7">
    <mergeCell ref="A1:J1"/>
    <mergeCell ref="B18:H18"/>
    <mergeCell ref="B13:H13"/>
    <mergeCell ref="B4:H4"/>
    <mergeCell ref="A2:J2"/>
    <mergeCell ref="B16:H16"/>
    <mergeCell ref="B11:H1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6"/>
  <sheetViews>
    <sheetView showGridLines="0" workbookViewId="0">
      <selection sqref="A1:J1"/>
    </sheetView>
  </sheetViews>
  <sheetFormatPr baseColWidth="10" defaultColWidth="8.83203125" defaultRowHeight="15" x14ac:dyDescent="0.2"/>
  <cols>
    <col min="1" max="1" width="3" customWidth="1"/>
    <col min="2" max="2" width="18" customWidth="1"/>
    <col min="3" max="3" width="16" customWidth="1"/>
    <col min="4" max="4" width="18" customWidth="1"/>
    <col min="5" max="5" width="4" customWidth="1"/>
    <col min="6" max="8" width="14" customWidth="1"/>
  </cols>
  <sheetData>
    <row r="1" spans="1:10" ht="34" customHeight="1" x14ac:dyDescent="0.2">
      <c r="A1" s="25" t="s">
        <v>16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8" customHeight="1" x14ac:dyDescent="0.2">
      <c r="A2" s="23" t="s">
        <v>88</v>
      </c>
      <c r="B2" s="24"/>
      <c r="C2" s="24"/>
      <c r="D2" s="24"/>
      <c r="E2" s="24"/>
      <c r="F2" s="24"/>
      <c r="G2" s="24"/>
      <c r="H2" s="24"/>
      <c r="I2" s="24"/>
      <c r="J2" s="24"/>
    </row>
    <row r="4" spans="1:10" ht="17" x14ac:dyDescent="0.2">
      <c r="B4" s="21" t="s">
        <v>89</v>
      </c>
      <c r="C4" s="22"/>
      <c r="D4" s="22"/>
      <c r="E4" s="22"/>
      <c r="F4" s="22"/>
      <c r="G4" s="22"/>
      <c r="H4" s="22"/>
    </row>
    <row r="5" spans="1:10" x14ac:dyDescent="0.2">
      <c r="B5" s="2" t="s">
        <v>90</v>
      </c>
      <c r="C5" s="4">
        <f>DATE(2024,12,1)</f>
        <v>45627</v>
      </c>
    </row>
    <row r="6" spans="1:10" x14ac:dyDescent="0.2">
      <c r="B6" s="5" t="s">
        <v>91</v>
      </c>
      <c r="C6" s="5" t="s">
        <v>92</v>
      </c>
      <c r="D6" s="5" t="s">
        <v>93</v>
      </c>
    </row>
    <row r="7" spans="1:10" x14ac:dyDescent="0.2">
      <c r="B7" s="2" t="s">
        <v>94</v>
      </c>
      <c r="C7" s="13" cm="1">
        <f t="array" ref="C7">_xldudf_ALM_RPI($C$5)</f>
        <v>392.1</v>
      </c>
      <c r="D7" s="6" cm="1">
        <f t="array" ref="D7">_xldudf_ALM_RPI_YOY($C$5)</f>
        <v>3.5</v>
      </c>
    </row>
    <row r="8" spans="1:10" x14ac:dyDescent="0.2">
      <c r="B8" s="2" t="s">
        <v>95</v>
      </c>
      <c r="C8" s="13" cm="1">
        <f t="array" ref="C8">_xldudf_ALM_CPI($C$5)</f>
        <v>135.6</v>
      </c>
      <c r="D8" s="6" cm="1">
        <f t="array" ref="D8">_xldudf_ALM_CPI_YOY($C$5)</f>
        <v>2.5</v>
      </c>
    </row>
    <row r="9" spans="1:10" x14ac:dyDescent="0.2">
      <c r="B9" s="2" t="s">
        <v>96</v>
      </c>
      <c r="C9" s="13" cm="1">
        <f t="array" ref="C9">_xldudf_ALM_CPIH($C$5)</f>
        <v>135.1</v>
      </c>
      <c r="D9" s="6" cm="1">
        <f t="array" ref="D9">_xldudf_ALM_CPIH_YOY($C$5)</f>
        <v>3.5</v>
      </c>
    </row>
    <row r="10" spans="1:10" x14ac:dyDescent="0.2">
      <c r="B10" s="2" t="s">
        <v>97</v>
      </c>
      <c r="C10" s="13" cm="1">
        <f t="array" ref="C10">_xldudf_ALM_RPIX($C$5)</f>
        <v>386</v>
      </c>
      <c r="D10" s="6" cm="1">
        <f t="array" ref="D10">_xldudf_ALM_RPIX_YOY($C$5)</f>
        <v>2.9</v>
      </c>
    </row>
    <row r="11" spans="1:10" x14ac:dyDescent="0.2">
      <c r="B11" s="26" t="s">
        <v>98</v>
      </c>
      <c r="C11" s="22"/>
      <c r="D11" s="22"/>
      <c r="E11" s="22"/>
      <c r="F11" s="22"/>
      <c r="G11" s="22"/>
      <c r="H11" s="22"/>
    </row>
    <row r="13" spans="1:10" ht="17" x14ac:dyDescent="0.2">
      <c r="B13" s="21" t="s">
        <v>99</v>
      </c>
      <c r="C13" s="22"/>
      <c r="D13" s="22"/>
      <c r="E13" s="22"/>
      <c r="F13" s="22"/>
      <c r="G13" s="22"/>
      <c r="H13" s="22"/>
    </row>
    <row r="14" spans="1:10" x14ac:dyDescent="0.2">
      <c r="B14" s="5" t="s">
        <v>90</v>
      </c>
      <c r="C14" s="5" t="s">
        <v>100</v>
      </c>
      <c r="D14" s="5" t="s">
        <v>101</v>
      </c>
    </row>
    <row r="15" spans="1:10" x14ac:dyDescent="0.2">
      <c r="B15" s="4">
        <v>45292</v>
      </c>
      <c r="C15" s="13" cm="1">
        <f t="array" ref="C15:C26">_xldudf_ALM_CPI(B15:B26)</f>
        <v>131.5</v>
      </c>
      <c r="D15" s="6" cm="1">
        <f t="array" ref="D15:D26">_xldudf_ALM_CPI_YOY(B15:B26)</f>
        <v>4</v>
      </c>
    </row>
    <row r="16" spans="1:10" x14ac:dyDescent="0.2">
      <c r="B16" s="4">
        <v>45323</v>
      </c>
      <c r="C16" s="14">
        <v>132.30000000000001</v>
      </c>
      <c r="D16" s="10">
        <v>3.4</v>
      </c>
    </row>
    <row r="17" spans="2:4" x14ac:dyDescent="0.2">
      <c r="B17" s="4">
        <v>45352</v>
      </c>
      <c r="C17" s="14">
        <v>133</v>
      </c>
      <c r="D17" s="10">
        <v>3.2</v>
      </c>
    </row>
    <row r="18" spans="2:4" x14ac:dyDescent="0.2">
      <c r="B18" s="4">
        <v>45383</v>
      </c>
      <c r="C18" s="14">
        <v>133.5</v>
      </c>
      <c r="D18" s="10">
        <v>2.2999999999999998</v>
      </c>
    </row>
    <row r="19" spans="2:4" x14ac:dyDescent="0.2">
      <c r="B19" s="4">
        <v>45413</v>
      </c>
      <c r="C19" s="14">
        <v>133.9</v>
      </c>
      <c r="D19" s="10">
        <v>2</v>
      </c>
    </row>
    <row r="20" spans="2:4" x14ac:dyDescent="0.2">
      <c r="B20" s="4">
        <v>45444</v>
      </c>
      <c r="C20" s="14">
        <v>134.1</v>
      </c>
      <c r="D20" s="10">
        <v>2</v>
      </c>
    </row>
    <row r="21" spans="2:4" x14ac:dyDescent="0.2">
      <c r="B21" s="4">
        <v>45474</v>
      </c>
      <c r="C21" s="14">
        <v>133.80000000000001</v>
      </c>
      <c r="D21" s="10">
        <v>2.2000000000000002</v>
      </c>
    </row>
    <row r="22" spans="2:4" x14ac:dyDescent="0.2">
      <c r="B22" s="4">
        <v>45505</v>
      </c>
      <c r="C22" s="14">
        <v>134.30000000000001</v>
      </c>
      <c r="D22" s="10">
        <v>2.2000000000000002</v>
      </c>
    </row>
    <row r="23" spans="2:4" x14ac:dyDescent="0.2">
      <c r="B23" s="4">
        <v>45536</v>
      </c>
      <c r="C23" s="14">
        <v>134.19999999999999</v>
      </c>
      <c r="D23" s="10">
        <v>1.7</v>
      </c>
    </row>
    <row r="24" spans="2:4" x14ac:dyDescent="0.2">
      <c r="B24" s="4">
        <v>45566</v>
      </c>
      <c r="C24" s="14">
        <v>135</v>
      </c>
      <c r="D24" s="10">
        <v>2.2999999999999998</v>
      </c>
    </row>
    <row r="25" spans="2:4" x14ac:dyDescent="0.2">
      <c r="B25" s="4">
        <v>45597</v>
      </c>
      <c r="C25" s="14">
        <v>135.1</v>
      </c>
      <c r="D25" s="10">
        <v>2.6</v>
      </c>
    </row>
    <row r="26" spans="2:4" x14ac:dyDescent="0.2">
      <c r="B26" s="4">
        <v>45627</v>
      </c>
      <c r="C26" s="14">
        <v>135.6</v>
      </c>
      <c r="D26" s="10">
        <v>2.5</v>
      </c>
    </row>
  </sheetData>
  <mergeCells count="5">
    <mergeCell ref="A1:J1"/>
    <mergeCell ref="B13:H13"/>
    <mergeCell ref="B4:H4"/>
    <mergeCell ref="A2:J2"/>
    <mergeCell ref="B11:H1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07"/>
  <sheetViews>
    <sheetView showGridLines="0" workbookViewId="0">
      <selection sqref="A1:J1"/>
    </sheetView>
  </sheetViews>
  <sheetFormatPr baseColWidth="10" defaultColWidth="8.83203125" defaultRowHeight="15" x14ac:dyDescent="0.2"/>
  <cols>
    <col min="1" max="1" width="3" customWidth="1"/>
    <col min="2" max="2" width="10" customWidth="1"/>
    <col min="3" max="8" width="13" customWidth="1"/>
    <col min="9" max="9" width="4" customWidth="1"/>
    <col min="10" max="15" width="12" customWidth="1"/>
    <col min="16" max="16" width="4" customWidth="1"/>
    <col min="17" max="17" width="10" customWidth="1"/>
    <col min="18" max="18" width="14" customWidth="1"/>
  </cols>
  <sheetData>
    <row r="1" spans="1:18" ht="34" customHeight="1" x14ac:dyDescent="0.2">
      <c r="A1" s="25" t="s">
        <v>18</v>
      </c>
      <c r="B1" s="24"/>
      <c r="C1" s="24"/>
      <c r="D1" s="24"/>
      <c r="E1" s="24"/>
      <c r="F1" s="24"/>
      <c r="G1" s="24"/>
      <c r="H1" s="24"/>
      <c r="I1" s="24"/>
      <c r="J1" s="24"/>
    </row>
    <row r="2" spans="1:18" ht="18" customHeight="1" x14ac:dyDescent="0.2">
      <c r="A2" s="23" t="s">
        <v>102</v>
      </c>
      <c r="B2" s="24"/>
      <c r="C2" s="24"/>
      <c r="D2" s="24"/>
      <c r="E2" s="24"/>
      <c r="F2" s="24"/>
      <c r="G2" s="24"/>
      <c r="H2" s="24"/>
      <c r="I2" s="24"/>
      <c r="J2" s="24"/>
    </row>
    <row r="4" spans="1:18" ht="17" x14ac:dyDescent="0.2">
      <c r="B4" s="21" t="s">
        <v>103</v>
      </c>
      <c r="C4" s="22"/>
      <c r="D4" s="22"/>
      <c r="E4" s="22"/>
      <c r="F4" s="22"/>
      <c r="G4" s="22"/>
      <c r="H4" s="22"/>
      <c r="J4" s="2" t="s">
        <v>104</v>
      </c>
      <c r="Q4" s="2" t="s">
        <v>105</v>
      </c>
    </row>
    <row r="5" spans="1:18" x14ac:dyDescent="0.2">
      <c r="B5" s="2" t="s">
        <v>106</v>
      </c>
      <c r="C5" s="7" t="s">
        <v>107</v>
      </c>
      <c r="J5" s="26" t="s">
        <v>108</v>
      </c>
      <c r="K5" s="22"/>
      <c r="L5" s="22"/>
      <c r="M5" s="22"/>
      <c r="N5" s="22"/>
      <c r="Q5" s="26" t="s">
        <v>109</v>
      </c>
      <c r="R5" s="22"/>
    </row>
    <row r="6" spans="1:18" x14ac:dyDescent="0.2">
      <c r="B6" s="5" t="s">
        <v>110</v>
      </c>
      <c r="C6" s="5" t="s">
        <v>111</v>
      </c>
      <c r="D6" s="5" t="s">
        <v>112</v>
      </c>
      <c r="E6" s="5" t="s">
        <v>113</v>
      </c>
      <c r="F6" s="5" t="s">
        <v>114</v>
      </c>
      <c r="G6" s="5" t="s">
        <v>115</v>
      </c>
      <c r="H6" s="5" t="s">
        <v>116</v>
      </c>
      <c r="J6" s="7" t="str" cm="1">
        <f t="array" ref="J6:O107">_xldudf_ALM_LIFE_TABLE("M",$C$5,TRUE)</f>
        <v>age</v>
      </c>
      <c r="K6" t="str">
        <v>mx</v>
      </c>
      <c r="L6" t="str">
        <v>qx</v>
      </c>
      <c r="M6" t="str">
        <v>lx</v>
      </c>
      <c r="N6" t="str">
        <v>dx</v>
      </c>
      <c r="O6" t="str">
        <v>ex</v>
      </c>
      <c r="Q6" s="15" cm="1">
        <f t="array" ref="Q6:R106">_xldudf_ALM_MORTALITY_TABLE("F",$C$5)</f>
        <v>0</v>
      </c>
      <c r="R6" s="16">
        <v>3.6310000000000001E-3</v>
      </c>
    </row>
    <row r="7" spans="1:18" x14ac:dyDescent="0.2">
      <c r="B7" s="2">
        <v>45</v>
      </c>
      <c r="C7" s="17" cm="1">
        <f t="array" ref="C7:C15">_xldudf_ALM_MORTALITY(B7:B15,"M",$C$5)</f>
        <v>2.4329999999999998E-3</v>
      </c>
      <c r="D7" s="18" cm="1">
        <f t="array" ref="D7:D15">_xldudf_ALM_SURVIVORS(B7:B15,"M",$C$5)</f>
        <v>96632</v>
      </c>
      <c r="E7" s="13" cm="1">
        <f t="array" ref="E7:E15">_xldudf_ALM_LIFE_EXPECTANCY(B7:B15,"M",$C$5)</f>
        <v>35.880000000000003</v>
      </c>
      <c r="F7" s="17" cm="1">
        <f t="array" ref="F7:F15">_xldudf_ALM_MORTALITY(B7:B15,"F",$C$5)</f>
        <v>1.3849999999999999E-3</v>
      </c>
      <c r="G7" s="18" cm="1">
        <f t="array" ref="G7:G15">_xldudf_ALM_SURVIVORS(B7:B15,"F",$C$5)</f>
        <v>98025.5</v>
      </c>
      <c r="H7" s="13" cm="1">
        <f t="array" ref="H7:H15">_xldudf_ALM_LIFE_EXPECTANCY(B7:B15,"F",$C$5)</f>
        <v>39.14</v>
      </c>
      <c r="J7">
        <v>0</v>
      </c>
      <c r="K7">
        <v>4.6119999999999998E-3</v>
      </c>
      <c r="L7">
        <v>4.6020000000000002E-3</v>
      </c>
      <c r="M7">
        <v>100000</v>
      </c>
      <c r="N7">
        <v>460.2</v>
      </c>
      <c r="O7">
        <v>79.12</v>
      </c>
      <c r="Q7" s="19">
        <v>1</v>
      </c>
      <c r="R7" s="16">
        <v>2.0599999999999999E-4</v>
      </c>
    </row>
    <row r="8" spans="1:18" x14ac:dyDescent="0.2">
      <c r="B8" s="2">
        <v>50</v>
      </c>
      <c r="C8" s="16">
        <v>3.7109999999999999E-3</v>
      </c>
      <c r="D8" s="20">
        <v>95255</v>
      </c>
      <c r="E8" s="14">
        <v>31.36</v>
      </c>
      <c r="F8" s="16">
        <v>2.3640000000000002E-3</v>
      </c>
      <c r="G8" s="20">
        <v>97172.5</v>
      </c>
      <c r="H8" s="14">
        <v>34.46</v>
      </c>
      <c r="J8">
        <v>1</v>
      </c>
      <c r="K8">
        <v>2.4699999999999999E-4</v>
      </c>
      <c r="L8">
        <v>2.4699999999999999E-4</v>
      </c>
      <c r="M8">
        <v>99539.8</v>
      </c>
      <c r="N8">
        <v>24.6</v>
      </c>
      <c r="O8">
        <v>78.489999999999995</v>
      </c>
      <c r="Q8" s="19">
        <v>2</v>
      </c>
      <c r="R8" s="16">
        <v>1.37E-4</v>
      </c>
    </row>
    <row r="9" spans="1:18" x14ac:dyDescent="0.2">
      <c r="B9" s="2">
        <v>55</v>
      </c>
      <c r="C9" s="16">
        <v>5.3200000000000001E-3</v>
      </c>
      <c r="D9" s="20">
        <v>93226.4</v>
      </c>
      <c r="E9" s="14">
        <v>26.98</v>
      </c>
      <c r="F9" s="16">
        <v>3.3709999999999999E-3</v>
      </c>
      <c r="G9" s="20">
        <v>95869.6</v>
      </c>
      <c r="H9" s="14">
        <v>29.89</v>
      </c>
      <c r="J9">
        <v>2</v>
      </c>
      <c r="K9">
        <v>1.7699999999999999E-4</v>
      </c>
      <c r="L9">
        <v>1.7699999999999999E-4</v>
      </c>
      <c r="M9">
        <v>99515.3</v>
      </c>
      <c r="N9">
        <v>17.600000000000001</v>
      </c>
      <c r="O9">
        <v>77.510000000000005</v>
      </c>
      <c r="Q9" s="19">
        <v>3</v>
      </c>
      <c r="R9" s="16">
        <v>9.8999999999999994E-5</v>
      </c>
    </row>
    <row r="10" spans="1:18" x14ac:dyDescent="0.2">
      <c r="B10" s="2">
        <v>60</v>
      </c>
      <c r="C10" s="16">
        <v>7.7609999999999997E-3</v>
      </c>
      <c r="D10" s="20">
        <v>90346.7</v>
      </c>
      <c r="E10" s="14">
        <v>22.76</v>
      </c>
      <c r="F10" s="16">
        <v>5.019E-3</v>
      </c>
      <c r="G10" s="20">
        <v>93959.8</v>
      </c>
      <c r="H10" s="14">
        <v>25.45</v>
      </c>
      <c r="J10">
        <v>3</v>
      </c>
      <c r="K10">
        <v>1.15E-4</v>
      </c>
      <c r="L10">
        <v>1.15E-4</v>
      </c>
      <c r="M10">
        <v>99497.600000000006</v>
      </c>
      <c r="N10">
        <v>11.4</v>
      </c>
      <c r="O10">
        <v>76.52</v>
      </c>
      <c r="Q10" s="19">
        <v>4</v>
      </c>
      <c r="R10" s="16">
        <v>8.1000000000000004E-5</v>
      </c>
    </row>
    <row r="11" spans="1:18" x14ac:dyDescent="0.2">
      <c r="B11" s="2">
        <v>65</v>
      </c>
      <c r="C11" s="16">
        <v>1.1976000000000001E-2</v>
      </c>
      <c r="D11" s="20">
        <v>86195.4</v>
      </c>
      <c r="E11" s="14">
        <v>18.73</v>
      </c>
      <c r="F11" s="16">
        <v>7.9430000000000004E-3</v>
      </c>
      <c r="G11" s="20">
        <v>91123.8</v>
      </c>
      <c r="H11" s="14">
        <v>21.16</v>
      </c>
      <c r="J11">
        <v>4</v>
      </c>
      <c r="K11">
        <v>1E-4</v>
      </c>
      <c r="L11">
        <v>1E-4</v>
      </c>
      <c r="M11">
        <v>99486.2</v>
      </c>
      <c r="N11">
        <v>9.9</v>
      </c>
      <c r="O11">
        <v>75.53</v>
      </c>
      <c r="Q11" s="19">
        <v>5</v>
      </c>
      <c r="R11" s="16">
        <v>6.9999999999999994E-5</v>
      </c>
    </row>
    <row r="12" spans="1:18" x14ac:dyDescent="0.2">
      <c r="B12" s="2">
        <v>70</v>
      </c>
      <c r="C12" s="16">
        <v>1.9526999999999999E-2</v>
      </c>
      <c r="D12" s="20">
        <v>79998.100000000006</v>
      </c>
      <c r="E12" s="14">
        <v>14.97</v>
      </c>
      <c r="F12" s="16">
        <v>1.2715000000000001E-2</v>
      </c>
      <c r="G12" s="20">
        <v>86727.3</v>
      </c>
      <c r="H12" s="14">
        <v>17.09</v>
      </c>
      <c r="J12">
        <v>5</v>
      </c>
      <c r="K12">
        <v>9.7E-5</v>
      </c>
      <c r="L12">
        <v>9.7E-5</v>
      </c>
      <c r="M12">
        <v>99476.3</v>
      </c>
      <c r="N12">
        <v>9.6</v>
      </c>
      <c r="O12">
        <v>74.540000000000006</v>
      </c>
      <c r="Q12" s="19">
        <v>6</v>
      </c>
      <c r="R12" s="16">
        <v>7.4999999999999993E-5</v>
      </c>
    </row>
    <row r="13" spans="1:18" x14ac:dyDescent="0.2">
      <c r="B13" s="2">
        <v>75</v>
      </c>
      <c r="C13" s="16">
        <v>3.0318999999999999E-2</v>
      </c>
      <c r="D13" s="20">
        <v>70998.600000000006</v>
      </c>
      <c r="E13" s="14">
        <v>11.53</v>
      </c>
      <c r="F13" s="16">
        <v>2.1031999999999999E-2</v>
      </c>
      <c r="G13" s="20">
        <v>80179.8</v>
      </c>
      <c r="H13" s="14">
        <v>13.27</v>
      </c>
      <c r="J13">
        <v>6</v>
      </c>
      <c r="K13">
        <v>8.0000000000000007E-5</v>
      </c>
      <c r="L13">
        <v>8.0000000000000007E-5</v>
      </c>
      <c r="M13">
        <v>99466.7</v>
      </c>
      <c r="N13">
        <v>7.9</v>
      </c>
      <c r="O13">
        <v>73.540000000000006</v>
      </c>
      <c r="Q13" s="19">
        <v>7</v>
      </c>
      <c r="R13" s="16">
        <v>6.2000000000000003E-5</v>
      </c>
    </row>
    <row r="14" spans="1:18" x14ac:dyDescent="0.2">
      <c r="B14" s="2">
        <v>80</v>
      </c>
      <c r="C14" s="16">
        <v>5.2664999999999997E-2</v>
      </c>
      <c r="D14" s="20">
        <v>58462.9</v>
      </c>
      <c r="E14" s="14">
        <v>8.44</v>
      </c>
      <c r="F14" s="16">
        <v>3.7938E-2</v>
      </c>
      <c r="G14" s="20">
        <v>70005.600000000006</v>
      </c>
      <c r="H14" s="14">
        <v>9.81</v>
      </c>
      <c r="J14">
        <v>7</v>
      </c>
      <c r="K14">
        <v>8.0000000000000007E-5</v>
      </c>
      <c r="L14">
        <v>8.0000000000000007E-5</v>
      </c>
      <c r="M14">
        <v>99458.7</v>
      </c>
      <c r="N14">
        <v>8</v>
      </c>
      <c r="O14">
        <v>72.55</v>
      </c>
      <c r="Q14" s="19">
        <v>8</v>
      </c>
      <c r="R14" s="16">
        <v>6.0999999999999999E-5</v>
      </c>
    </row>
    <row r="15" spans="1:18" x14ac:dyDescent="0.2">
      <c r="B15" s="2">
        <v>85</v>
      </c>
      <c r="C15" s="16">
        <v>9.3856999999999996E-2</v>
      </c>
      <c r="D15" s="20">
        <v>41111.4</v>
      </c>
      <c r="E15" s="14">
        <v>5.9</v>
      </c>
      <c r="F15" s="16">
        <v>7.0716000000000001E-2</v>
      </c>
      <c r="G15" s="20">
        <v>54160.9</v>
      </c>
      <c r="H15" s="14">
        <v>6.9</v>
      </c>
      <c r="J15">
        <v>8</v>
      </c>
      <c r="K15">
        <v>7.8999999999999996E-5</v>
      </c>
      <c r="L15">
        <v>7.8999999999999996E-5</v>
      </c>
      <c r="M15">
        <v>99450.7</v>
      </c>
      <c r="N15">
        <v>7.8</v>
      </c>
      <c r="O15">
        <v>71.56</v>
      </c>
      <c r="Q15" s="19">
        <v>9</v>
      </c>
      <c r="R15" s="16">
        <v>6.0000000000000002E-5</v>
      </c>
    </row>
    <row r="16" spans="1:18" x14ac:dyDescent="0.2">
      <c r="J16">
        <v>9</v>
      </c>
      <c r="K16">
        <v>9.1000000000000003E-5</v>
      </c>
      <c r="L16">
        <v>9.1000000000000003E-5</v>
      </c>
      <c r="M16">
        <v>99442.9</v>
      </c>
      <c r="N16">
        <v>9.1</v>
      </c>
      <c r="O16">
        <v>70.56</v>
      </c>
      <c r="Q16" s="19">
        <v>10</v>
      </c>
      <c r="R16" s="16">
        <v>7.6000000000000004E-5</v>
      </c>
    </row>
    <row r="17" spans="2:18" x14ac:dyDescent="0.2">
      <c r="B17" s="26" t="s">
        <v>117</v>
      </c>
      <c r="C17" s="22"/>
      <c r="D17" s="22"/>
      <c r="E17" s="22"/>
      <c r="F17" s="22"/>
      <c r="G17" s="22"/>
      <c r="H17" s="22"/>
      <c r="J17">
        <v>10</v>
      </c>
      <c r="K17">
        <v>6.9999999999999994E-5</v>
      </c>
      <c r="L17">
        <v>6.9999999999999994E-5</v>
      </c>
      <c r="M17">
        <v>99433.8</v>
      </c>
      <c r="N17">
        <v>7</v>
      </c>
      <c r="O17">
        <v>69.569999999999993</v>
      </c>
      <c r="Q17" s="19">
        <v>11</v>
      </c>
      <c r="R17" s="16">
        <v>6.2000000000000003E-5</v>
      </c>
    </row>
    <row r="18" spans="2:18" x14ac:dyDescent="0.2">
      <c r="B18" s="26" t="s">
        <v>118</v>
      </c>
      <c r="C18" s="22"/>
      <c r="D18" s="22"/>
      <c r="E18" s="22"/>
      <c r="F18" s="22"/>
      <c r="G18" s="22"/>
      <c r="H18" s="22"/>
      <c r="J18">
        <v>11</v>
      </c>
      <c r="K18">
        <v>9.5000000000000005E-5</v>
      </c>
      <c r="L18">
        <v>9.5000000000000005E-5</v>
      </c>
      <c r="M18">
        <v>99426.8</v>
      </c>
      <c r="N18">
        <v>9.4</v>
      </c>
      <c r="O18">
        <v>68.569999999999993</v>
      </c>
      <c r="Q18" s="19">
        <v>12</v>
      </c>
      <c r="R18" s="16">
        <v>6.6000000000000005E-5</v>
      </c>
    </row>
    <row r="19" spans="2:18" x14ac:dyDescent="0.2">
      <c r="J19">
        <v>12</v>
      </c>
      <c r="K19">
        <v>9.6000000000000002E-5</v>
      </c>
      <c r="L19">
        <v>9.6000000000000002E-5</v>
      </c>
      <c r="M19">
        <v>99417.4</v>
      </c>
      <c r="N19">
        <v>9.6</v>
      </c>
      <c r="O19">
        <v>67.58</v>
      </c>
      <c r="Q19" s="19">
        <v>13</v>
      </c>
      <c r="R19" s="16">
        <v>9.3999999999999994E-5</v>
      </c>
    </row>
    <row r="20" spans="2:18" ht="17" x14ac:dyDescent="0.2">
      <c r="B20" s="21" t="s">
        <v>119</v>
      </c>
      <c r="C20" s="22"/>
      <c r="D20" s="22"/>
      <c r="E20" s="22"/>
      <c r="F20" s="22"/>
      <c r="G20" s="22"/>
      <c r="H20" s="22"/>
      <c r="J20">
        <v>13</v>
      </c>
      <c r="K20">
        <v>1.15E-4</v>
      </c>
      <c r="L20">
        <v>1.15E-4</v>
      </c>
      <c r="M20">
        <v>99407.8</v>
      </c>
      <c r="N20">
        <v>11.4</v>
      </c>
      <c r="O20">
        <v>66.58</v>
      </c>
      <c r="Q20" s="19">
        <v>14</v>
      </c>
      <c r="R20" s="16">
        <v>1.01E-4</v>
      </c>
    </row>
    <row r="21" spans="2:18" x14ac:dyDescent="0.2">
      <c r="B21" s="7" t="str" cm="1">
        <f t="array" ref="B21:B26">_xlfn.TAKE(_xldudf_ALM_LIFE_PERIODS(),6)</f>
        <v>2022-2024</v>
      </c>
      <c r="J21">
        <v>14</v>
      </c>
      <c r="K21">
        <v>1.3899999999999999E-4</v>
      </c>
      <c r="L21">
        <v>1.3899999999999999E-4</v>
      </c>
      <c r="M21">
        <v>99396.4</v>
      </c>
      <c r="N21">
        <v>13.9</v>
      </c>
      <c r="O21">
        <v>65.59</v>
      </c>
      <c r="Q21" s="19">
        <v>15</v>
      </c>
      <c r="R21" s="16">
        <v>1.17E-4</v>
      </c>
    </row>
    <row r="22" spans="2:18" x14ac:dyDescent="0.2">
      <c r="B22" t="str">
        <v>2021-2023</v>
      </c>
      <c r="J22">
        <v>15</v>
      </c>
      <c r="K22">
        <v>1.73E-4</v>
      </c>
      <c r="L22">
        <v>1.73E-4</v>
      </c>
      <c r="M22">
        <v>99382.6</v>
      </c>
      <c r="N22">
        <v>17.2</v>
      </c>
      <c r="O22">
        <v>64.599999999999994</v>
      </c>
      <c r="Q22" s="19">
        <v>16</v>
      </c>
      <c r="R22" s="16">
        <v>1.17E-4</v>
      </c>
    </row>
    <row r="23" spans="2:18" x14ac:dyDescent="0.2">
      <c r="B23" t="str">
        <v>2020-2022</v>
      </c>
      <c r="J23">
        <v>16</v>
      </c>
      <c r="K23">
        <v>2.5700000000000001E-4</v>
      </c>
      <c r="L23">
        <v>2.5700000000000001E-4</v>
      </c>
      <c r="M23">
        <v>99365.3</v>
      </c>
      <c r="N23">
        <v>25.5</v>
      </c>
      <c r="O23">
        <v>63.61</v>
      </c>
      <c r="Q23" s="19">
        <v>17</v>
      </c>
      <c r="R23" s="16">
        <v>1.6899999999999999E-4</v>
      </c>
    </row>
    <row r="24" spans="2:18" x14ac:dyDescent="0.2">
      <c r="B24" t="str">
        <v>2019-2021</v>
      </c>
      <c r="J24">
        <v>17</v>
      </c>
      <c r="K24">
        <v>2.8800000000000001E-4</v>
      </c>
      <c r="L24">
        <v>2.8800000000000001E-4</v>
      </c>
      <c r="M24">
        <v>99339.8</v>
      </c>
      <c r="N24">
        <v>28.6</v>
      </c>
      <c r="O24">
        <v>62.63</v>
      </c>
      <c r="Q24" s="19">
        <v>18</v>
      </c>
      <c r="R24" s="16">
        <v>1.92E-4</v>
      </c>
    </row>
    <row r="25" spans="2:18" x14ac:dyDescent="0.2">
      <c r="B25" t="str">
        <v>2018-2020</v>
      </c>
      <c r="J25">
        <v>18</v>
      </c>
      <c r="K25">
        <v>4.3800000000000002E-4</v>
      </c>
      <c r="L25">
        <v>4.3800000000000002E-4</v>
      </c>
      <c r="M25">
        <v>99311.2</v>
      </c>
      <c r="N25">
        <v>43.5</v>
      </c>
      <c r="O25">
        <v>61.65</v>
      </c>
      <c r="Q25" s="19">
        <v>19</v>
      </c>
      <c r="R25" s="16">
        <v>1.9799999999999999E-4</v>
      </c>
    </row>
    <row r="26" spans="2:18" x14ac:dyDescent="0.2">
      <c r="B26" t="str">
        <v>2017-2019</v>
      </c>
      <c r="J26">
        <v>19</v>
      </c>
      <c r="K26">
        <v>4.9299999999999995E-4</v>
      </c>
      <c r="L26">
        <v>4.9299999999999995E-4</v>
      </c>
      <c r="M26">
        <v>99267.7</v>
      </c>
      <c r="N26">
        <v>49</v>
      </c>
      <c r="O26">
        <v>60.67</v>
      </c>
      <c r="Q26" s="19">
        <v>20</v>
      </c>
      <c r="R26" s="16">
        <v>2.22E-4</v>
      </c>
    </row>
    <row r="27" spans="2:18" x14ac:dyDescent="0.2">
      <c r="J27">
        <v>20</v>
      </c>
      <c r="K27">
        <v>4.57E-4</v>
      </c>
      <c r="L27">
        <v>4.57E-4</v>
      </c>
      <c r="M27">
        <v>99218.8</v>
      </c>
      <c r="N27">
        <v>45.3</v>
      </c>
      <c r="O27">
        <v>59.7</v>
      </c>
      <c r="Q27" s="19">
        <v>21</v>
      </c>
      <c r="R27" s="16">
        <v>2.24E-4</v>
      </c>
    </row>
    <row r="28" spans="2:18" x14ac:dyDescent="0.2">
      <c r="J28">
        <v>21</v>
      </c>
      <c r="K28">
        <v>5.1000000000000004E-4</v>
      </c>
      <c r="L28">
        <v>5.0900000000000001E-4</v>
      </c>
      <c r="M28">
        <v>99173.5</v>
      </c>
      <c r="N28">
        <v>50.5</v>
      </c>
      <c r="O28">
        <v>58.73</v>
      </c>
      <c r="Q28" s="19">
        <v>22</v>
      </c>
      <c r="R28" s="16">
        <v>2.1800000000000001E-4</v>
      </c>
    </row>
    <row r="29" spans="2:18" x14ac:dyDescent="0.2">
      <c r="J29">
        <v>22</v>
      </c>
      <c r="K29">
        <v>5.1900000000000004E-4</v>
      </c>
      <c r="L29">
        <v>5.1900000000000004E-4</v>
      </c>
      <c r="M29">
        <v>99122.9</v>
      </c>
      <c r="N29">
        <v>51.4</v>
      </c>
      <c r="O29">
        <v>57.76</v>
      </c>
      <c r="Q29" s="19">
        <v>23</v>
      </c>
      <c r="R29" s="16">
        <v>2.32E-4</v>
      </c>
    </row>
    <row r="30" spans="2:18" x14ac:dyDescent="0.2">
      <c r="J30">
        <v>23</v>
      </c>
      <c r="K30">
        <v>5.5400000000000002E-4</v>
      </c>
      <c r="L30">
        <v>5.53E-4</v>
      </c>
      <c r="M30">
        <v>99071.5</v>
      </c>
      <c r="N30">
        <v>54.8</v>
      </c>
      <c r="O30">
        <v>56.79</v>
      </c>
      <c r="Q30" s="19">
        <v>24</v>
      </c>
      <c r="R30" s="16">
        <v>2.5099999999999998E-4</v>
      </c>
    </row>
    <row r="31" spans="2:18" x14ac:dyDescent="0.2">
      <c r="J31">
        <v>24</v>
      </c>
      <c r="K31">
        <v>5.3600000000000002E-4</v>
      </c>
      <c r="L31">
        <v>5.3600000000000002E-4</v>
      </c>
      <c r="M31">
        <v>99016.7</v>
      </c>
      <c r="N31">
        <v>53.1</v>
      </c>
      <c r="O31">
        <v>55.82</v>
      </c>
      <c r="Q31" s="19">
        <v>25</v>
      </c>
      <c r="R31" s="16">
        <v>2.3599999999999999E-4</v>
      </c>
    </row>
    <row r="32" spans="2:18" x14ac:dyDescent="0.2">
      <c r="J32">
        <v>25</v>
      </c>
      <c r="K32">
        <v>5.4100000000000003E-4</v>
      </c>
      <c r="L32">
        <v>5.4000000000000001E-4</v>
      </c>
      <c r="M32">
        <v>98963.6</v>
      </c>
      <c r="N32">
        <v>53.5</v>
      </c>
      <c r="O32">
        <v>54.85</v>
      </c>
      <c r="Q32" s="19">
        <v>26</v>
      </c>
      <c r="R32" s="16">
        <v>2.5000000000000001E-4</v>
      </c>
    </row>
    <row r="33" spans="10:18" x14ac:dyDescent="0.2">
      <c r="J33">
        <v>26</v>
      </c>
      <c r="K33">
        <v>6.4199999999999999E-4</v>
      </c>
      <c r="L33">
        <v>6.4199999999999999E-4</v>
      </c>
      <c r="M33">
        <v>98910.1</v>
      </c>
      <c r="N33">
        <v>63.5</v>
      </c>
      <c r="O33">
        <v>53.88</v>
      </c>
      <c r="Q33" s="19">
        <v>27</v>
      </c>
      <c r="R33" s="16">
        <v>3.0299999999999999E-4</v>
      </c>
    </row>
    <row r="34" spans="10:18" x14ac:dyDescent="0.2">
      <c r="J34">
        <v>27</v>
      </c>
      <c r="K34">
        <v>5.9999999999999995E-4</v>
      </c>
      <c r="L34">
        <v>5.9999999999999995E-4</v>
      </c>
      <c r="M34">
        <v>98846.7</v>
      </c>
      <c r="N34">
        <v>59.3</v>
      </c>
      <c r="O34">
        <v>52.91</v>
      </c>
      <c r="Q34" s="19">
        <v>28</v>
      </c>
      <c r="R34" s="16">
        <v>3.0299999999999999E-4</v>
      </c>
    </row>
    <row r="35" spans="10:18" x14ac:dyDescent="0.2">
      <c r="J35">
        <v>28</v>
      </c>
      <c r="K35">
        <v>6.7900000000000002E-4</v>
      </c>
      <c r="L35">
        <v>6.7900000000000002E-4</v>
      </c>
      <c r="M35">
        <v>98787.4</v>
      </c>
      <c r="N35">
        <v>67</v>
      </c>
      <c r="O35">
        <v>51.95</v>
      </c>
      <c r="Q35" s="19">
        <v>29</v>
      </c>
      <c r="R35" s="16">
        <v>3.39E-4</v>
      </c>
    </row>
    <row r="36" spans="10:18" x14ac:dyDescent="0.2">
      <c r="J36">
        <v>29</v>
      </c>
      <c r="K36">
        <v>7.3700000000000002E-4</v>
      </c>
      <c r="L36">
        <v>7.3700000000000002E-4</v>
      </c>
      <c r="M36">
        <v>98720.4</v>
      </c>
      <c r="N36">
        <v>72.7</v>
      </c>
      <c r="O36">
        <v>50.98</v>
      </c>
      <c r="Q36" s="19">
        <v>30</v>
      </c>
      <c r="R36" s="16">
        <v>3.7100000000000002E-4</v>
      </c>
    </row>
    <row r="37" spans="10:18" x14ac:dyDescent="0.2">
      <c r="J37">
        <v>30</v>
      </c>
      <c r="K37">
        <v>7.6900000000000004E-4</v>
      </c>
      <c r="L37">
        <v>7.6900000000000004E-4</v>
      </c>
      <c r="M37">
        <v>98647.7</v>
      </c>
      <c r="N37">
        <v>75.8</v>
      </c>
      <c r="O37">
        <v>50.02</v>
      </c>
      <c r="Q37" s="19">
        <v>31</v>
      </c>
      <c r="R37" s="16">
        <v>3.9300000000000001E-4</v>
      </c>
    </row>
    <row r="38" spans="10:18" x14ac:dyDescent="0.2">
      <c r="J38">
        <v>31</v>
      </c>
      <c r="K38">
        <v>8.4800000000000001E-4</v>
      </c>
      <c r="L38">
        <v>8.4699999999999999E-4</v>
      </c>
      <c r="M38">
        <v>98571.8</v>
      </c>
      <c r="N38">
        <v>83.5</v>
      </c>
      <c r="O38">
        <v>49.06</v>
      </c>
      <c r="Q38" s="19">
        <v>32</v>
      </c>
      <c r="R38" s="16">
        <v>4.5399999999999998E-4</v>
      </c>
    </row>
    <row r="39" spans="10:18" x14ac:dyDescent="0.2">
      <c r="J39">
        <v>32</v>
      </c>
      <c r="K39">
        <v>8.8099999999999995E-4</v>
      </c>
      <c r="L39">
        <v>8.8000000000000003E-4</v>
      </c>
      <c r="M39">
        <v>98488.3</v>
      </c>
      <c r="N39">
        <v>86.7</v>
      </c>
      <c r="O39">
        <v>48.1</v>
      </c>
      <c r="Q39" s="19">
        <v>33</v>
      </c>
      <c r="R39" s="16">
        <v>4.8799999999999999E-4</v>
      </c>
    </row>
    <row r="40" spans="10:18" x14ac:dyDescent="0.2">
      <c r="J40">
        <v>33</v>
      </c>
      <c r="K40">
        <v>9.4899999999999997E-4</v>
      </c>
      <c r="L40">
        <v>9.4899999999999997E-4</v>
      </c>
      <c r="M40">
        <v>98401.600000000006</v>
      </c>
      <c r="N40">
        <v>93.3</v>
      </c>
      <c r="O40">
        <v>47.14</v>
      </c>
      <c r="Q40" s="19">
        <v>34</v>
      </c>
      <c r="R40" s="16">
        <v>5.0799999999999999E-4</v>
      </c>
    </row>
    <row r="41" spans="10:18" x14ac:dyDescent="0.2">
      <c r="J41">
        <v>34</v>
      </c>
      <c r="K41">
        <v>1.0330000000000001E-3</v>
      </c>
      <c r="L41">
        <v>1.0319999999999999E-3</v>
      </c>
      <c r="M41">
        <v>98308.3</v>
      </c>
      <c r="N41">
        <v>101.5</v>
      </c>
      <c r="O41">
        <v>46.18</v>
      </c>
      <c r="Q41" s="19">
        <v>35</v>
      </c>
      <c r="R41" s="16">
        <v>6.2799999999999998E-4</v>
      </c>
    </row>
    <row r="42" spans="10:18" x14ac:dyDescent="0.2">
      <c r="J42">
        <v>35</v>
      </c>
      <c r="K42">
        <v>1.111E-3</v>
      </c>
      <c r="L42">
        <v>1.1100000000000001E-3</v>
      </c>
      <c r="M42">
        <v>98206.8</v>
      </c>
      <c r="N42">
        <v>109</v>
      </c>
      <c r="O42">
        <v>45.23</v>
      </c>
      <c r="Q42" s="19">
        <v>36</v>
      </c>
      <c r="R42" s="16">
        <v>6.3699999999999998E-4</v>
      </c>
    </row>
    <row r="43" spans="10:18" x14ac:dyDescent="0.2">
      <c r="J43">
        <v>36</v>
      </c>
      <c r="K43">
        <v>1.2340000000000001E-3</v>
      </c>
      <c r="L43">
        <v>1.2329999999999999E-3</v>
      </c>
      <c r="M43">
        <v>98097.7</v>
      </c>
      <c r="N43">
        <v>121</v>
      </c>
      <c r="O43">
        <v>44.28</v>
      </c>
      <c r="Q43" s="19">
        <v>37</v>
      </c>
      <c r="R43" s="16">
        <v>7.1699999999999997E-4</v>
      </c>
    </row>
    <row r="44" spans="10:18" x14ac:dyDescent="0.2">
      <c r="J44">
        <v>37</v>
      </c>
      <c r="K44">
        <v>1.3060000000000001E-3</v>
      </c>
      <c r="L44">
        <v>1.305E-3</v>
      </c>
      <c r="M44">
        <v>97976.8</v>
      </c>
      <c r="N44">
        <v>127.8</v>
      </c>
      <c r="O44">
        <v>43.33</v>
      </c>
      <c r="Q44" s="19">
        <v>38</v>
      </c>
      <c r="R44" s="16">
        <v>7.9000000000000001E-4</v>
      </c>
    </row>
    <row r="45" spans="10:18" x14ac:dyDescent="0.2">
      <c r="J45">
        <v>38</v>
      </c>
      <c r="K45">
        <v>1.371E-3</v>
      </c>
      <c r="L45">
        <v>1.3699999999999999E-3</v>
      </c>
      <c r="M45">
        <v>97848.9</v>
      </c>
      <c r="N45">
        <v>134</v>
      </c>
      <c r="O45">
        <v>42.39</v>
      </c>
      <c r="Q45" s="19">
        <v>39</v>
      </c>
      <c r="R45" s="16">
        <v>9.0600000000000001E-4</v>
      </c>
    </row>
    <row r="46" spans="10:18" x14ac:dyDescent="0.2">
      <c r="J46">
        <v>39</v>
      </c>
      <c r="K46">
        <v>1.518E-3</v>
      </c>
      <c r="L46">
        <v>1.5169999999999999E-3</v>
      </c>
      <c r="M46">
        <v>97714.9</v>
      </c>
      <c r="N46">
        <v>148.19999999999999</v>
      </c>
      <c r="O46">
        <v>41.45</v>
      </c>
      <c r="Q46" s="19">
        <v>40</v>
      </c>
      <c r="R46" s="16">
        <v>9.6100000000000005E-4</v>
      </c>
    </row>
    <row r="47" spans="10:18" x14ac:dyDescent="0.2">
      <c r="J47">
        <v>40</v>
      </c>
      <c r="K47">
        <v>1.6819999999999999E-3</v>
      </c>
      <c r="L47">
        <v>1.681E-3</v>
      </c>
      <c r="M47">
        <v>97566.7</v>
      </c>
      <c r="N47">
        <v>164</v>
      </c>
      <c r="O47">
        <v>40.51</v>
      </c>
      <c r="Q47" s="19">
        <v>41</v>
      </c>
      <c r="R47" s="16">
        <v>1.065E-3</v>
      </c>
    </row>
    <row r="48" spans="10:18" x14ac:dyDescent="0.2">
      <c r="J48">
        <v>41</v>
      </c>
      <c r="K48">
        <v>1.81E-3</v>
      </c>
      <c r="L48">
        <v>1.8079999999999999E-3</v>
      </c>
      <c r="M48">
        <v>97402.7</v>
      </c>
      <c r="N48">
        <v>176.1</v>
      </c>
      <c r="O48">
        <v>39.58</v>
      </c>
      <c r="Q48" s="19">
        <v>42</v>
      </c>
      <c r="R48" s="16">
        <v>1.1839999999999999E-3</v>
      </c>
    </row>
    <row r="49" spans="10:18" x14ac:dyDescent="0.2">
      <c r="J49">
        <v>42</v>
      </c>
      <c r="K49">
        <v>1.892E-3</v>
      </c>
      <c r="L49">
        <v>1.89E-3</v>
      </c>
      <c r="M49">
        <v>97226.6</v>
      </c>
      <c r="N49">
        <v>183.8</v>
      </c>
      <c r="O49">
        <v>38.65</v>
      </c>
      <c r="Q49" s="19">
        <v>43</v>
      </c>
      <c r="R49" s="16">
        <v>1.2080000000000001E-3</v>
      </c>
    </row>
    <row r="50" spans="10:18" x14ac:dyDescent="0.2">
      <c r="J50">
        <v>43</v>
      </c>
      <c r="K50">
        <v>2.0760000000000002E-3</v>
      </c>
      <c r="L50">
        <v>2.0739999999999999E-3</v>
      </c>
      <c r="M50">
        <v>97042.8</v>
      </c>
      <c r="N50">
        <v>201.3</v>
      </c>
      <c r="O50">
        <v>37.72</v>
      </c>
      <c r="Q50" s="19">
        <v>44</v>
      </c>
      <c r="R50" s="16">
        <v>1.366E-3</v>
      </c>
    </row>
    <row r="51" spans="10:18" x14ac:dyDescent="0.2">
      <c r="J51">
        <v>44</v>
      </c>
      <c r="K51">
        <v>2.166E-3</v>
      </c>
      <c r="L51">
        <v>2.1640000000000001E-3</v>
      </c>
      <c r="M51">
        <v>96841.5</v>
      </c>
      <c r="N51">
        <v>209.5</v>
      </c>
      <c r="O51">
        <v>36.799999999999997</v>
      </c>
      <c r="Q51" s="19">
        <v>45</v>
      </c>
      <c r="R51" s="16">
        <v>1.3849999999999999E-3</v>
      </c>
    </row>
    <row r="52" spans="10:18" x14ac:dyDescent="0.2">
      <c r="J52">
        <v>45</v>
      </c>
      <c r="K52">
        <v>2.4359999999999998E-3</v>
      </c>
      <c r="L52">
        <v>2.4329999999999998E-3</v>
      </c>
      <c r="M52">
        <v>96632</v>
      </c>
      <c r="N52">
        <v>235.1</v>
      </c>
      <c r="O52">
        <v>35.880000000000003</v>
      </c>
      <c r="Q52" s="19">
        <v>46</v>
      </c>
      <c r="R52" s="16">
        <v>1.5529999999999999E-3</v>
      </c>
    </row>
    <row r="53" spans="10:18" x14ac:dyDescent="0.2">
      <c r="J53">
        <v>46</v>
      </c>
      <c r="K53">
        <v>2.6180000000000001E-3</v>
      </c>
      <c r="L53">
        <v>2.6150000000000001E-3</v>
      </c>
      <c r="M53">
        <v>96396.9</v>
      </c>
      <c r="N53">
        <v>252.1</v>
      </c>
      <c r="O53">
        <v>34.96</v>
      </c>
      <c r="Q53" s="19">
        <v>47</v>
      </c>
      <c r="R53" s="16">
        <v>1.7769999999999999E-3</v>
      </c>
    </row>
    <row r="54" spans="10:18" x14ac:dyDescent="0.2">
      <c r="J54">
        <v>47</v>
      </c>
      <c r="K54">
        <v>2.843E-3</v>
      </c>
      <c r="L54">
        <v>2.8389999999999999E-3</v>
      </c>
      <c r="M54">
        <v>96144.8</v>
      </c>
      <c r="N54">
        <v>273</v>
      </c>
      <c r="O54">
        <v>34.049999999999997</v>
      </c>
      <c r="Q54" s="19">
        <v>48</v>
      </c>
      <c r="R54" s="16">
        <v>1.9109999999999999E-3</v>
      </c>
    </row>
    <row r="55" spans="10:18" x14ac:dyDescent="0.2">
      <c r="J55">
        <v>48</v>
      </c>
      <c r="K55">
        <v>3.0620000000000001E-3</v>
      </c>
      <c r="L55">
        <v>3.0569999999999998E-3</v>
      </c>
      <c r="M55">
        <v>95871.9</v>
      </c>
      <c r="N55">
        <v>293.10000000000002</v>
      </c>
      <c r="O55">
        <v>33.15</v>
      </c>
      <c r="Q55" s="19">
        <v>49</v>
      </c>
      <c r="R55" s="16">
        <v>2.1059999999999998E-3</v>
      </c>
    </row>
    <row r="56" spans="10:18" x14ac:dyDescent="0.2">
      <c r="J56">
        <v>49</v>
      </c>
      <c r="K56">
        <v>3.3930000000000002E-3</v>
      </c>
      <c r="L56">
        <v>3.3869999999999998E-3</v>
      </c>
      <c r="M56">
        <v>95578.8</v>
      </c>
      <c r="N56">
        <v>323.8</v>
      </c>
      <c r="O56">
        <v>32.25</v>
      </c>
      <c r="Q56" s="19">
        <v>50</v>
      </c>
      <c r="R56" s="16">
        <v>2.3640000000000002E-3</v>
      </c>
    </row>
    <row r="57" spans="10:18" x14ac:dyDescent="0.2">
      <c r="J57">
        <v>50</v>
      </c>
      <c r="K57">
        <v>3.718E-3</v>
      </c>
      <c r="L57">
        <v>3.7109999999999999E-3</v>
      </c>
      <c r="M57">
        <v>95255</v>
      </c>
      <c r="N57">
        <v>353.5</v>
      </c>
      <c r="O57">
        <v>31.36</v>
      </c>
      <c r="Q57" s="19">
        <v>51</v>
      </c>
      <c r="R57" s="16">
        <v>2.5370000000000002E-3</v>
      </c>
    </row>
    <row r="58" spans="10:18" x14ac:dyDescent="0.2">
      <c r="J58">
        <v>51</v>
      </c>
      <c r="K58">
        <v>4.019E-3</v>
      </c>
      <c r="L58">
        <v>4.0109999999999998E-3</v>
      </c>
      <c r="M58">
        <v>94901.5</v>
      </c>
      <c r="N58">
        <v>380.6</v>
      </c>
      <c r="O58">
        <v>30.47</v>
      </c>
      <c r="Q58" s="19">
        <v>52</v>
      </c>
      <c r="R58" s="16">
        <v>2.637E-3</v>
      </c>
    </row>
    <row r="59" spans="10:18" x14ac:dyDescent="0.2">
      <c r="J59">
        <v>52</v>
      </c>
      <c r="K59">
        <v>4.2880000000000001E-3</v>
      </c>
      <c r="L59">
        <v>4.2779999999999997E-3</v>
      </c>
      <c r="M59">
        <v>94520.9</v>
      </c>
      <c r="N59">
        <v>404.4</v>
      </c>
      <c r="O59">
        <v>29.59</v>
      </c>
      <c r="Q59" s="19">
        <v>53</v>
      </c>
      <c r="R59" s="16">
        <v>2.833E-3</v>
      </c>
    </row>
    <row r="60" spans="10:18" x14ac:dyDescent="0.2">
      <c r="J60">
        <v>53</v>
      </c>
      <c r="K60">
        <v>4.5620000000000001E-3</v>
      </c>
      <c r="L60">
        <v>4.5519999999999996E-3</v>
      </c>
      <c r="M60">
        <v>94116.5</v>
      </c>
      <c r="N60">
        <v>428.4</v>
      </c>
      <c r="O60">
        <v>28.72</v>
      </c>
      <c r="Q60" s="19">
        <v>54</v>
      </c>
      <c r="R60" s="16">
        <v>3.1080000000000001E-3</v>
      </c>
    </row>
    <row r="61" spans="10:18" x14ac:dyDescent="0.2">
      <c r="J61">
        <v>54</v>
      </c>
      <c r="K61">
        <v>4.9399999999999999E-3</v>
      </c>
      <c r="L61">
        <v>4.9280000000000001E-3</v>
      </c>
      <c r="M61">
        <v>93688.1</v>
      </c>
      <c r="N61">
        <v>461.7</v>
      </c>
      <c r="O61">
        <v>27.85</v>
      </c>
      <c r="Q61" s="19">
        <v>55</v>
      </c>
      <c r="R61" s="16">
        <v>3.3709999999999999E-3</v>
      </c>
    </row>
    <row r="62" spans="10:18" x14ac:dyDescent="0.2">
      <c r="J62">
        <v>55</v>
      </c>
      <c r="K62">
        <v>5.3340000000000002E-3</v>
      </c>
      <c r="L62">
        <v>5.3200000000000001E-3</v>
      </c>
      <c r="M62">
        <v>93226.4</v>
      </c>
      <c r="N62">
        <v>496</v>
      </c>
      <c r="O62">
        <v>26.98</v>
      </c>
      <c r="Q62" s="19">
        <v>56</v>
      </c>
      <c r="R62" s="16">
        <v>3.7090000000000001E-3</v>
      </c>
    </row>
    <row r="63" spans="10:18" x14ac:dyDescent="0.2">
      <c r="J63">
        <v>56</v>
      </c>
      <c r="K63">
        <v>5.757E-3</v>
      </c>
      <c r="L63">
        <v>5.7400000000000003E-3</v>
      </c>
      <c r="M63">
        <v>92730.5</v>
      </c>
      <c r="N63">
        <v>532.29999999999995</v>
      </c>
      <c r="O63">
        <v>26.12</v>
      </c>
      <c r="Q63" s="19">
        <v>57</v>
      </c>
      <c r="R63" s="16">
        <v>4.0670000000000003E-3</v>
      </c>
    </row>
    <row r="64" spans="10:18" x14ac:dyDescent="0.2">
      <c r="J64">
        <v>57</v>
      </c>
      <c r="K64">
        <v>6.2729999999999999E-3</v>
      </c>
      <c r="L64">
        <v>6.2529999999999999E-3</v>
      </c>
      <c r="M64">
        <v>92198.2</v>
      </c>
      <c r="N64">
        <v>576.6</v>
      </c>
      <c r="O64">
        <v>25.27</v>
      </c>
      <c r="Q64" s="19">
        <v>58</v>
      </c>
      <c r="R64" s="16">
        <v>4.3080000000000002E-3</v>
      </c>
    </row>
    <row r="65" spans="10:18" x14ac:dyDescent="0.2">
      <c r="J65">
        <v>58</v>
      </c>
      <c r="K65">
        <v>6.7499999999999999E-3</v>
      </c>
      <c r="L65">
        <v>6.7279999999999996E-3</v>
      </c>
      <c r="M65">
        <v>91621.6</v>
      </c>
      <c r="N65">
        <v>616.4</v>
      </c>
      <c r="O65">
        <v>24.43</v>
      </c>
      <c r="Q65" s="19">
        <v>59</v>
      </c>
      <c r="R65" s="16">
        <v>4.6259999999999999E-3</v>
      </c>
    </row>
    <row r="66" spans="10:18" x14ac:dyDescent="0.2">
      <c r="J66">
        <v>59</v>
      </c>
      <c r="K66">
        <v>7.2620000000000002E-3</v>
      </c>
      <c r="L66">
        <v>7.2360000000000002E-3</v>
      </c>
      <c r="M66">
        <v>91005.2</v>
      </c>
      <c r="N66">
        <v>658.5</v>
      </c>
      <c r="O66">
        <v>23.59</v>
      </c>
      <c r="Q66" s="19">
        <v>60</v>
      </c>
      <c r="R66" s="16">
        <v>5.019E-3</v>
      </c>
    </row>
    <row r="67" spans="10:18" x14ac:dyDescent="0.2">
      <c r="J67">
        <v>60</v>
      </c>
      <c r="K67">
        <v>7.7910000000000002E-3</v>
      </c>
      <c r="L67">
        <v>7.7609999999999997E-3</v>
      </c>
      <c r="M67">
        <v>90346.7</v>
      </c>
      <c r="N67">
        <v>701.2</v>
      </c>
      <c r="O67">
        <v>22.76</v>
      </c>
      <c r="Q67" s="19">
        <v>61</v>
      </c>
      <c r="R67" s="16">
        <v>5.4339999999999996E-3</v>
      </c>
    </row>
    <row r="68" spans="10:18" x14ac:dyDescent="0.2">
      <c r="J68">
        <v>61</v>
      </c>
      <c r="K68">
        <v>8.5929999999999999E-3</v>
      </c>
      <c r="L68">
        <v>8.5559999999999994E-3</v>
      </c>
      <c r="M68">
        <v>89645.5</v>
      </c>
      <c r="N68">
        <v>767</v>
      </c>
      <c r="O68">
        <v>21.93</v>
      </c>
      <c r="Q68" s="19">
        <v>62</v>
      </c>
      <c r="R68" s="16">
        <v>6.0689999999999997E-3</v>
      </c>
    </row>
    <row r="69" spans="10:18" x14ac:dyDescent="0.2">
      <c r="J69">
        <v>62</v>
      </c>
      <c r="K69">
        <v>9.3349999999999995E-3</v>
      </c>
      <c r="L69">
        <v>9.2919999999999999E-3</v>
      </c>
      <c r="M69">
        <v>88878.5</v>
      </c>
      <c r="N69">
        <v>825.9</v>
      </c>
      <c r="O69">
        <v>21.12</v>
      </c>
      <c r="Q69" s="19">
        <v>63</v>
      </c>
      <c r="R69" s="16">
        <v>6.7080000000000004E-3</v>
      </c>
    </row>
    <row r="70" spans="10:18" x14ac:dyDescent="0.2">
      <c r="J70">
        <v>63</v>
      </c>
      <c r="K70">
        <v>1.0083E-2</v>
      </c>
      <c r="L70">
        <v>1.0033E-2</v>
      </c>
      <c r="M70">
        <v>88052.6</v>
      </c>
      <c r="N70">
        <v>883.4</v>
      </c>
      <c r="O70">
        <v>20.309999999999999</v>
      </c>
      <c r="Q70" s="19">
        <v>64</v>
      </c>
      <c r="R70" s="16">
        <v>7.3220000000000004E-3</v>
      </c>
    </row>
    <row r="71" spans="10:18" x14ac:dyDescent="0.2">
      <c r="J71">
        <v>64</v>
      </c>
      <c r="K71">
        <v>1.1233999999999999E-2</v>
      </c>
      <c r="L71">
        <v>1.1172E-2</v>
      </c>
      <c r="M71">
        <v>87169.2</v>
      </c>
      <c r="N71">
        <v>973.8</v>
      </c>
      <c r="O71">
        <v>19.510000000000002</v>
      </c>
      <c r="Q71" s="19">
        <v>65</v>
      </c>
      <c r="R71" s="16">
        <v>7.9430000000000004E-3</v>
      </c>
    </row>
    <row r="72" spans="10:18" x14ac:dyDescent="0.2">
      <c r="J72">
        <v>65</v>
      </c>
      <c r="K72">
        <v>1.2048E-2</v>
      </c>
      <c r="L72">
        <v>1.1976000000000001E-2</v>
      </c>
      <c r="M72">
        <v>86195.4</v>
      </c>
      <c r="N72">
        <v>1032.2</v>
      </c>
      <c r="O72">
        <v>18.73</v>
      </c>
      <c r="Q72" s="19">
        <v>66</v>
      </c>
      <c r="R72" s="16">
        <v>8.9519999999999999E-3</v>
      </c>
    </row>
    <row r="73" spans="10:18" x14ac:dyDescent="0.2">
      <c r="J73">
        <v>66</v>
      </c>
      <c r="K73">
        <v>1.3495E-2</v>
      </c>
      <c r="L73">
        <v>1.3403999999999999E-2</v>
      </c>
      <c r="M73">
        <v>85163.199999999997</v>
      </c>
      <c r="N73">
        <v>1141.5</v>
      </c>
      <c r="O73">
        <v>17.95</v>
      </c>
      <c r="Q73" s="19">
        <v>67</v>
      </c>
      <c r="R73" s="16">
        <v>9.8709999999999996E-3</v>
      </c>
    </row>
    <row r="74" spans="10:18" x14ac:dyDescent="0.2">
      <c r="J74">
        <v>67</v>
      </c>
      <c r="K74">
        <v>1.4905E-2</v>
      </c>
      <c r="L74">
        <v>1.4795000000000001E-2</v>
      </c>
      <c r="M74">
        <v>84021.6</v>
      </c>
      <c r="N74">
        <v>1243.0999999999999</v>
      </c>
      <c r="O74">
        <v>17.18</v>
      </c>
      <c r="Q74" s="19">
        <v>68</v>
      </c>
      <c r="R74" s="16">
        <v>1.0777E-2</v>
      </c>
    </row>
    <row r="75" spans="10:18" x14ac:dyDescent="0.2">
      <c r="J75">
        <v>68</v>
      </c>
      <c r="K75">
        <v>1.6413000000000001E-2</v>
      </c>
      <c r="L75">
        <v>1.6279999999999999E-2</v>
      </c>
      <c r="M75">
        <v>82778.5</v>
      </c>
      <c r="N75">
        <v>1347.6</v>
      </c>
      <c r="O75">
        <v>16.43</v>
      </c>
      <c r="Q75" s="19">
        <v>69</v>
      </c>
      <c r="R75" s="16">
        <v>1.166E-2</v>
      </c>
    </row>
    <row r="76" spans="10:18" x14ac:dyDescent="0.2">
      <c r="J76">
        <v>69</v>
      </c>
      <c r="K76">
        <v>1.7752E-2</v>
      </c>
      <c r="L76">
        <v>1.7595E-2</v>
      </c>
      <c r="M76">
        <v>81430.899999999994</v>
      </c>
      <c r="N76">
        <v>1432.8</v>
      </c>
      <c r="O76">
        <v>15.7</v>
      </c>
      <c r="Q76" s="19">
        <v>70</v>
      </c>
      <c r="R76" s="16">
        <v>1.2715000000000001E-2</v>
      </c>
    </row>
    <row r="77" spans="10:18" x14ac:dyDescent="0.2">
      <c r="J77">
        <v>70</v>
      </c>
      <c r="K77">
        <v>1.9719E-2</v>
      </c>
      <c r="L77">
        <v>1.9526999999999999E-2</v>
      </c>
      <c r="M77">
        <v>79998.100000000006</v>
      </c>
      <c r="N77">
        <v>1562.1</v>
      </c>
      <c r="O77">
        <v>14.97</v>
      </c>
      <c r="Q77" s="19">
        <v>71</v>
      </c>
      <c r="R77" s="16">
        <v>1.3834000000000001E-2</v>
      </c>
    </row>
    <row r="78" spans="10:18" x14ac:dyDescent="0.2">
      <c r="J78">
        <v>71</v>
      </c>
      <c r="K78">
        <v>2.1739999999999999E-2</v>
      </c>
      <c r="L78">
        <v>2.1506000000000001E-2</v>
      </c>
      <c r="M78">
        <v>78436</v>
      </c>
      <c r="N78">
        <v>1686.9</v>
      </c>
      <c r="O78">
        <v>14.26</v>
      </c>
      <c r="Q78" s="19">
        <v>72</v>
      </c>
      <c r="R78" s="16">
        <v>1.5504E-2</v>
      </c>
    </row>
    <row r="79" spans="10:18" x14ac:dyDescent="0.2">
      <c r="J79">
        <v>72</v>
      </c>
      <c r="K79">
        <v>2.3896000000000001E-2</v>
      </c>
      <c r="L79">
        <v>2.3614E-2</v>
      </c>
      <c r="M79">
        <v>76749.100000000006</v>
      </c>
      <c r="N79">
        <v>1812.3</v>
      </c>
      <c r="O79">
        <v>13.56</v>
      </c>
      <c r="Q79" s="19">
        <v>73</v>
      </c>
      <c r="R79" s="16">
        <v>1.7044E-2</v>
      </c>
    </row>
    <row r="80" spans="10:18" x14ac:dyDescent="0.2">
      <c r="J80">
        <v>73</v>
      </c>
      <c r="K80">
        <v>2.5801000000000001E-2</v>
      </c>
      <c r="L80">
        <v>2.5472999999999999E-2</v>
      </c>
      <c r="M80">
        <v>74936.800000000003</v>
      </c>
      <c r="N80">
        <v>1908.8</v>
      </c>
      <c r="O80">
        <v>12.88</v>
      </c>
      <c r="Q80" s="19">
        <v>74</v>
      </c>
      <c r="R80" s="16">
        <v>1.8775E-2</v>
      </c>
    </row>
    <row r="81" spans="10:18" x14ac:dyDescent="0.2">
      <c r="J81">
        <v>74</v>
      </c>
      <c r="K81">
        <v>2.818E-2</v>
      </c>
      <c r="L81">
        <v>2.7789000000000001E-2</v>
      </c>
      <c r="M81">
        <v>73028</v>
      </c>
      <c r="N81">
        <v>2029.3</v>
      </c>
      <c r="O81">
        <v>12.2</v>
      </c>
      <c r="Q81" s="19">
        <v>75</v>
      </c>
      <c r="R81" s="16">
        <v>2.1031999999999999E-2</v>
      </c>
    </row>
    <row r="82" spans="10:18" x14ac:dyDescent="0.2">
      <c r="J82">
        <v>75</v>
      </c>
      <c r="K82">
        <v>3.0786000000000001E-2</v>
      </c>
      <c r="L82">
        <v>3.0318999999999999E-2</v>
      </c>
      <c r="M82">
        <v>70998.600000000006</v>
      </c>
      <c r="N82">
        <v>2152.6</v>
      </c>
      <c r="O82">
        <v>11.53</v>
      </c>
      <c r="Q82" s="19">
        <v>76</v>
      </c>
      <c r="R82" s="16">
        <v>2.3224999999999999E-2</v>
      </c>
    </row>
    <row r="83" spans="10:18" x14ac:dyDescent="0.2">
      <c r="J83">
        <v>76</v>
      </c>
      <c r="K83">
        <v>3.4327999999999997E-2</v>
      </c>
      <c r="L83">
        <v>3.3748E-2</v>
      </c>
      <c r="M83">
        <v>68846</v>
      </c>
      <c r="N83">
        <v>2323.4</v>
      </c>
      <c r="O83">
        <v>10.88</v>
      </c>
      <c r="Q83" s="19">
        <v>77</v>
      </c>
      <c r="R83" s="16">
        <v>2.6162000000000001E-2</v>
      </c>
    </row>
    <row r="84" spans="10:18" x14ac:dyDescent="0.2">
      <c r="J84">
        <v>77</v>
      </c>
      <c r="K84">
        <v>3.7844000000000003E-2</v>
      </c>
      <c r="L84">
        <v>3.7142000000000001E-2</v>
      </c>
      <c r="M84">
        <v>66522.5</v>
      </c>
      <c r="N84">
        <v>2470.6999999999998</v>
      </c>
      <c r="O84">
        <v>10.24</v>
      </c>
      <c r="Q84" s="19">
        <v>78</v>
      </c>
      <c r="R84" s="16">
        <v>2.9884000000000001E-2</v>
      </c>
    </row>
    <row r="85" spans="10:18" x14ac:dyDescent="0.2">
      <c r="J85">
        <v>78</v>
      </c>
      <c r="K85">
        <v>4.3277999999999997E-2</v>
      </c>
      <c r="L85">
        <v>4.2361000000000003E-2</v>
      </c>
      <c r="M85">
        <v>64051.8</v>
      </c>
      <c r="N85">
        <v>2713.3</v>
      </c>
      <c r="O85">
        <v>9.6199999999999992</v>
      </c>
      <c r="Q85" s="19">
        <v>79</v>
      </c>
      <c r="R85" s="16">
        <v>3.3516999999999998E-2</v>
      </c>
    </row>
    <row r="86" spans="10:18" x14ac:dyDescent="0.2">
      <c r="J86">
        <v>79</v>
      </c>
      <c r="K86">
        <v>4.8007000000000001E-2</v>
      </c>
      <c r="L86">
        <v>4.6880999999999999E-2</v>
      </c>
      <c r="M86">
        <v>61338.5</v>
      </c>
      <c r="N86">
        <v>2875.6</v>
      </c>
      <c r="O86">
        <v>9.02</v>
      </c>
      <c r="Q86" s="19">
        <v>80</v>
      </c>
      <c r="R86" s="16">
        <v>3.7938E-2</v>
      </c>
    </row>
    <row r="87" spans="10:18" x14ac:dyDescent="0.2">
      <c r="J87">
        <v>80</v>
      </c>
      <c r="K87">
        <v>5.4088999999999998E-2</v>
      </c>
      <c r="L87">
        <v>5.2664999999999997E-2</v>
      </c>
      <c r="M87">
        <v>58462.9</v>
      </c>
      <c r="N87">
        <v>3078.9</v>
      </c>
      <c r="O87">
        <v>8.44</v>
      </c>
      <c r="Q87" s="19">
        <v>81</v>
      </c>
      <c r="R87" s="16">
        <v>4.3557999999999999E-2</v>
      </c>
    </row>
    <row r="88" spans="10:18" x14ac:dyDescent="0.2">
      <c r="J88">
        <v>81</v>
      </c>
      <c r="K88">
        <v>6.1501E-2</v>
      </c>
      <c r="L88">
        <v>5.9665999999999997E-2</v>
      </c>
      <c r="M88">
        <v>55383.9</v>
      </c>
      <c r="N88">
        <v>3304.6</v>
      </c>
      <c r="O88">
        <v>7.88</v>
      </c>
      <c r="Q88" s="19">
        <v>82</v>
      </c>
      <c r="R88" s="16">
        <v>4.9425999999999998E-2</v>
      </c>
    </row>
    <row r="89" spans="10:18" x14ac:dyDescent="0.2">
      <c r="J89">
        <v>82</v>
      </c>
      <c r="K89">
        <v>7.0389999999999994E-2</v>
      </c>
      <c r="L89">
        <v>6.7996000000000001E-2</v>
      </c>
      <c r="M89">
        <v>52079.4</v>
      </c>
      <c r="N89">
        <v>3541.2</v>
      </c>
      <c r="O89">
        <v>7.35</v>
      </c>
      <c r="Q89" s="19">
        <v>83</v>
      </c>
      <c r="R89" s="16">
        <v>5.6002999999999997E-2</v>
      </c>
    </row>
    <row r="90" spans="10:18" x14ac:dyDescent="0.2">
      <c r="J90">
        <v>83</v>
      </c>
      <c r="K90">
        <v>7.8185000000000004E-2</v>
      </c>
      <c r="L90">
        <v>7.5244000000000005E-2</v>
      </c>
      <c r="M90">
        <v>48538.2</v>
      </c>
      <c r="N90">
        <v>3652.2</v>
      </c>
      <c r="O90">
        <v>6.85</v>
      </c>
      <c r="Q90" s="19">
        <v>84</v>
      </c>
      <c r="R90" s="16">
        <v>6.3009999999999997E-2</v>
      </c>
    </row>
    <row r="91" spans="10:18" x14ac:dyDescent="0.2">
      <c r="J91">
        <v>84</v>
      </c>
      <c r="K91">
        <v>8.7784000000000001E-2</v>
      </c>
      <c r="L91">
        <v>8.4093000000000001E-2</v>
      </c>
      <c r="M91">
        <v>44885.9</v>
      </c>
      <c r="N91">
        <v>3774.6</v>
      </c>
      <c r="O91">
        <v>6.37</v>
      </c>
      <c r="Q91" s="19">
        <v>85</v>
      </c>
      <c r="R91" s="16">
        <v>7.0716000000000001E-2</v>
      </c>
    </row>
    <row r="92" spans="10:18" x14ac:dyDescent="0.2">
      <c r="J92">
        <v>85</v>
      </c>
      <c r="K92">
        <v>9.8478999999999997E-2</v>
      </c>
      <c r="L92">
        <v>9.3856999999999996E-2</v>
      </c>
      <c r="M92">
        <v>41111.4</v>
      </c>
      <c r="N92">
        <v>3858.6</v>
      </c>
      <c r="O92">
        <v>5.9</v>
      </c>
      <c r="Q92" s="19">
        <v>86</v>
      </c>
      <c r="R92" s="16">
        <v>8.0642000000000005E-2</v>
      </c>
    </row>
    <row r="93" spans="10:18" x14ac:dyDescent="0.2">
      <c r="J93">
        <v>86</v>
      </c>
      <c r="K93">
        <v>0.111223</v>
      </c>
      <c r="L93">
        <v>0.105364</v>
      </c>
      <c r="M93">
        <v>37252.800000000003</v>
      </c>
      <c r="N93">
        <v>3925.1</v>
      </c>
      <c r="O93">
        <v>5.46</v>
      </c>
      <c r="Q93" s="19">
        <v>87</v>
      </c>
      <c r="R93" s="16">
        <v>9.0983999999999995E-2</v>
      </c>
    </row>
    <row r="94" spans="10:18" x14ac:dyDescent="0.2">
      <c r="J94">
        <v>87</v>
      </c>
      <c r="K94">
        <v>0.12539400000000001</v>
      </c>
      <c r="L94">
        <v>0.117996</v>
      </c>
      <c r="M94">
        <v>33327.699999999997</v>
      </c>
      <c r="N94">
        <v>3932.5</v>
      </c>
      <c r="O94">
        <v>5.05</v>
      </c>
      <c r="Q94" s="19">
        <v>88</v>
      </c>
      <c r="R94" s="16">
        <v>0.10333000000000001</v>
      </c>
    </row>
    <row r="95" spans="10:18" x14ac:dyDescent="0.2">
      <c r="J95">
        <v>88</v>
      </c>
      <c r="K95">
        <v>0.14258899999999999</v>
      </c>
      <c r="L95">
        <v>0.133099</v>
      </c>
      <c r="M95">
        <v>29395.1</v>
      </c>
      <c r="N95">
        <v>3912.5</v>
      </c>
      <c r="O95">
        <v>4.66</v>
      </c>
      <c r="Q95" s="19">
        <v>89</v>
      </c>
      <c r="R95" s="16">
        <v>0.11686199999999999</v>
      </c>
    </row>
    <row r="96" spans="10:18" x14ac:dyDescent="0.2">
      <c r="J96">
        <v>89</v>
      </c>
      <c r="K96">
        <v>0.161524</v>
      </c>
      <c r="L96">
        <v>0.149453</v>
      </c>
      <c r="M96">
        <v>25482.7</v>
      </c>
      <c r="N96">
        <v>3808.5</v>
      </c>
      <c r="O96">
        <v>4.3</v>
      </c>
      <c r="Q96" s="19">
        <v>90</v>
      </c>
      <c r="R96" s="16">
        <v>0.134302</v>
      </c>
    </row>
    <row r="97" spans="10:18" x14ac:dyDescent="0.2">
      <c r="J97">
        <v>90</v>
      </c>
      <c r="K97">
        <v>0.18180199999999999</v>
      </c>
      <c r="L97">
        <v>0.166653</v>
      </c>
      <c r="M97">
        <v>21674.2</v>
      </c>
      <c r="N97">
        <v>3612.1</v>
      </c>
      <c r="O97">
        <v>3.96</v>
      </c>
      <c r="Q97" s="19">
        <v>91</v>
      </c>
      <c r="R97" s="16">
        <v>0.15212400000000001</v>
      </c>
    </row>
    <row r="98" spans="10:18" x14ac:dyDescent="0.2">
      <c r="J98">
        <v>91</v>
      </c>
      <c r="K98">
        <v>0.202653</v>
      </c>
      <c r="L98">
        <v>0.184008</v>
      </c>
      <c r="M98">
        <v>18062.099999999999</v>
      </c>
      <c r="N98">
        <v>3323.6</v>
      </c>
      <c r="O98">
        <v>3.66</v>
      </c>
      <c r="Q98" s="19">
        <v>92</v>
      </c>
      <c r="R98" s="16">
        <v>0.17002900000000001</v>
      </c>
    </row>
    <row r="99" spans="10:18" x14ac:dyDescent="0.2">
      <c r="J99">
        <v>92</v>
      </c>
      <c r="K99">
        <v>0.22943</v>
      </c>
      <c r="L99">
        <v>0.20582</v>
      </c>
      <c r="M99">
        <v>14738.6</v>
      </c>
      <c r="N99">
        <v>3033.5</v>
      </c>
      <c r="O99">
        <v>3.37</v>
      </c>
      <c r="Q99" s="19">
        <v>93</v>
      </c>
      <c r="R99" s="16">
        <v>0.18865100000000001</v>
      </c>
    </row>
    <row r="100" spans="10:18" x14ac:dyDescent="0.2">
      <c r="J100">
        <v>93</v>
      </c>
      <c r="K100">
        <v>0.25468400000000002</v>
      </c>
      <c r="L100">
        <v>0.225915</v>
      </c>
      <c r="M100">
        <v>11705.1</v>
      </c>
      <c r="N100">
        <v>2644.4</v>
      </c>
      <c r="O100">
        <v>3.11</v>
      </c>
      <c r="Q100" s="19">
        <v>94</v>
      </c>
      <c r="R100" s="16">
        <v>0.207374</v>
      </c>
    </row>
    <row r="101" spans="10:18" x14ac:dyDescent="0.2">
      <c r="J101">
        <v>94</v>
      </c>
      <c r="K101">
        <v>0.28412100000000001</v>
      </c>
      <c r="L101">
        <v>0.248779</v>
      </c>
      <c r="M101">
        <v>9060.7000000000007</v>
      </c>
      <c r="N101">
        <v>2254.1</v>
      </c>
      <c r="O101">
        <v>2.87</v>
      </c>
      <c r="Q101" s="19">
        <v>95</v>
      </c>
      <c r="R101" s="16">
        <v>0.22736100000000001</v>
      </c>
    </row>
    <row r="102" spans="10:18" x14ac:dyDescent="0.2">
      <c r="J102">
        <v>95</v>
      </c>
      <c r="K102">
        <v>0.31378699999999998</v>
      </c>
      <c r="L102">
        <v>0.271233</v>
      </c>
      <c r="M102">
        <v>6806.6</v>
      </c>
      <c r="N102">
        <v>1846.2</v>
      </c>
      <c r="O102">
        <v>2.66</v>
      </c>
      <c r="Q102" s="19">
        <v>96</v>
      </c>
      <c r="R102" s="16">
        <v>0.24959999999999999</v>
      </c>
    </row>
    <row r="103" spans="10:18" x14ac:dyDescent="0.2">
      <c r="J103">
        <v>96</v>
      </c>
      <c r="K103">
        <v>0.34378700000000001</v>
      </c>
      <c r="L103">
        <v>0.29336000000000001</v>
      </c>
      <c r="M103">
        <v>4960.3999999999996</v>
      </c>
      <c r="N103">
        <v>1455.2</v>
      </c>
      <c r="O103">
        <v>2.46</v>
      </c>
      <c r="Q103" s="19">
        <v>97</v>
      </c>
      <c r="R103" s="16">
        <v>0.272316</v>
      </c>
    </row>
    <row r="104" spans="10:18" x14ac:dyDescent="0.2">
      <c r="J104">
        <v>97</v>
      </c>
      <c r="K104">
        <v>0.384766</v>
      </c>
      <c r="L104">
        <v>0.32268599999999997</v>
      </c>
      <c r="M104">
        <v>3505.2</v>
      </c>
      <c r="N104">
        <v>1131.0999999999999</v>
      </c>
      <c r="O104">
        <v>2.27</v>
      </c>
      <c r="Q104" s="19">
        <v>98</v>
      </c>
      <c r="R104" s="16">
        <v>0.29809200000000002</v>
      </c>
    </row>
    <row r="105" spans="10:18" x14ac:dyDescent="0.2">
      <c r="J105">
        <v>98</v>
      </c>
      <c r="K105">
        <v>0.41142499999999999</v>
      </c>
      <c r="L105">
        <v>0.34122999999999998</v>
      </c>
      <c r="M105">
        <v>2374.1</v>
      </c>
      <c r="N105">
        <v>810.1</v>
      </c>
      <c r="O105">
        <v>2.12</v>
      </c>
      <c r="Q105" s="19">
        <v>99</v>
      </c>
      <c r="R105" s="16">
        <v>0.31719399999999998</v>
      </c>
    </row>
    <row r="106" spans="10:18" x14ac:dyDescent="0.2">
      <c r="J106">
        <v>99</v>
      </c>
      <c r="K106">
        <v>0.44654500000000003</v>
      </c>
      <c r="L106">
        <v>0.36504199999999998</v>
      </c>
      <c r="M106">
        <v>1564</v>
      </c>
      <c r="N106">
        <v>570.9</v>
      </c>
      <c r="O106">
        <v>1.95</v>
      </c>
      <c r="Q106" s="19">
        <v>100</v>
      </c>
      <c r="R106" s="16">
        <v>0.349105</v>
      </c>
    </row>
    <row r="107" spans="10:18" x14ac:dyDescent="0.2">
      <c r="J107">
        <v>100</v>
      </c>
      <c r="K107">
        <v>0.50389499999999998</v>
      </c>
      <c r="L107">
        <v>0.40248899999999999</v>
      </c>
      <c r="M107">
        <v>993.1</v>
      </c>
      <c r="N107">
        <v>399.7</v>
      </c>
      <c r="O107">
        <v>1.79</v>
      </c>
      <c r="Q107" s="19"/>
      <c r="R107" s="16"/>
    </row>
  </sheetData>
  <mergeCells count="8">
    <mergeCell ref="Q5:R5"/>
    <mergeCell ref="A2:J2"/>
    <mergeCell ref="B20:H20"/>
    <mergeCell ref="A1:J1"/>
    <mergeCell ref="B17:H17"/>
    <mergeCell ref="B18:H18"/>
    <mergeCell ref="B4:H4"/>
    <mergeCell ref="J5:N5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16"/>
  <sheetViews>
    <sheetView showGridLines="0" workbookViewId="0"/>
  </sheetViews>
  <sheetFormatPr baseColWidth="10" defaultColWidth="8.83203125" defaultRowHeight="15" x14ac:dyDescent="0.2"/>
  <cols>
    <col min="1" max="1" width="3" customWidth="1"/>
    <col min="2" max="2" width="26" customWidth="1"/>
    <col min="3" max="7" width="14" customWidth="1"/>
    <col min="8" max="8" width="4" customWidth="1"/>
    <col min="9" max="15" width="14" customWidth="1"/>
  </cols>
  <sheetData>
    <row r="1" spans="1:15" ht="34" customHeight="1" x14ac:dyDescent="0.2">
      <c r="A1" s="25" t="s">
        <v>120</v>
      </c>
      <c r="B1" s="24"/>
      <c r="C1" s="24"/>
      <c r="D1" s="24"/>
      <c r="E1" s="24"/>
      <c r="F1" s="24"/>
      <c r="G1" s="24"/>
      <c r="H1" s="24"/>
      <c r="I1" s="24"/>
      <c r="J1" s="24"/>
    </row>
    <row r="2" spans="1:15" ht="18" customHeight="1" x14ac:dyDescent="0.2">
      <c r="A2" s="23" t="s">
        <v>121</v>
      </c>
      <c r="B2" s="24"/>
      <c r="C2" s="24"/>
      <c r="D2" s="24"/>
      <c r="E2" s="24"/>
      <c r="F2" s="24"/>
      <c r="G2" s="24"/>
      <c r="H2" s="24"/>
      <c r="I2" s="24"/>
      <c r="J2" s="24"/>
    </row>
    <row r="4" spans="1:15" ht="17" x14ac:dyDescent="0.2">
      <c r="B4" s="21" t="s">
        <v>122</v>
      </c>
      <c r="C4" s="22"/>
      <c r="D4" s="22"/>
      <c r="E4" s="22"/>
      <c r="F4" s="22"/>
      <c r="G4" s="22"/>
      <c r="H4" s="22"/>
      <c r="I4" s="2" t="s">
        <v>123</v>
      </c>
    </row>
    <row r="5" spans="1:15" x14ac:dyDescent="0.2">
      <c r="B5" s="2" t="s">
        <v>124</v>
      </c>
      <c r="C5" s="7" t="s">
        <v>125</v>
      </c>
      <c r="I5" s="26" t="s">
        <v>126</v>
      </c>
      <c r="J5" s="22"/>
      <c r="K5" s="22"/>
      <c r="L5" s="22"/>
      <c r="M5" s="22"/>
    </row>
    <row r="6" spans="1:15" x14ac:dyDescent="0.2">
      <c r="B6" s="2" t="s">
        <v>127</v>
      </c>
      <c r="C6" s="7" t="s">
        <v>128</v>
      </c>
      <c r="I6" s="7" t="str" cm="1">
        <f t="array" ref="I6:O216">_xldudf_ALM_PRA_TABLE($C$5,$C$6,$C$7,TRUE)</f>
        <v>cqs</v>
      </c>
      <c r="J6" t="str">
        <v>tenor</v>
      </c>
      <c r="K6" t="str">
        <v>pd_prob</v>
      </c>
      <c r="L6" t="str">
        <v>pd_spread</v>
      </c>
      <c r="M6" t="str">
        <v>cod</v>
      </c>
      <c r="N6" t="str">
        <v>ltas</v>
      </c>
      <c r="O6" t="str">
        <v>fs</v>
      </c>
    </row>
    <row r="7" spans="1:15" x14ac:dyDescent="0.2">
      <c r="B7" s="2" t="s">
        <v>129</v>
      </c>
      <c r="C7" s="4" cm="1">
        <f t="array" ref="C7">_xldudf_ALM_LATEST_PRA_DATE($C$5,$C$6)</f>
        <v>46234</v>
      </c>
      <c r="I7">
        <v>0</v>
      </c>
      <c r="J7">
        <v>1</v>
      </c>
      <c r="K7">
        <v>0</v>
      </c>
      <c r="L7">
        <v>0</v>
      </c>
      <c r="M7">
        <v>0</v>
      </c>
      <c r="N7">
        <v>-13.037360997819999</v>
      </c>
      <c r="O7">
        <v>0</v>
      </c>
    </row>
    <row r="8" spans="1:15" x14ac:dyDescent="0.2">
      <c r="B8" s="26" t="s">
        <v>130</v>
      </c>
      <c r="C8" s="22"/>
      <c r="D8" s="22"/>
      <c r="E8" s="22"/>
      <c r="F8" s="22"/>
      <c r="G8" s="22"/>
      <c r="H8" s="22"/>
      <c r="I8">
        <v>0</v>
      </c>
      <c r="J8">
        <v>2</v>
      </c>
      <c r="K8">
        <v>3.2499999999999998E-6</v>
      </c>
      <c r="L8">
        <v>0</v>
      </c>
      <c r="M8">
        <v>0</v>
      </c>
      <c r="N8">
        <v>-13.037360997819999</v>
      </c>
      <c r="O8">
        <v>0</v>
      </c>
    </row>
    <row r="9" spans="1:15" x14ac:dyDescent="0.2">
      <c r="I9">
        <v>0</v>
      </c>
      <c r="J9">
        <v>3</v>
      </c>
      <c r="K9">
        <v>1.5466144000000001E-5</v>
      </c>
      <c r="L9">
        <v>0</v>
      </c>
      <c r="M9">
        <v>1</v>
      </c>
      <c r="N9">
        <v>-13.431384264660002</v>
      </c>
      <c r="O9">
        <v>1</v>
      </c>
    </row>
    <row r="10" spans="1:15" ht="17" x14ac:dyDescent="0.2">
      <c r="B10" s="21" t="s">
        <v>131</v>
      </c>
      <c r="C10" s="22"/>
      <c r="D10" s="22"/>
      <c r="E10" s="22"/>
      <c r="F10" s="22"/>
      <c r="G10" s="22"/>
      <c r="H10" s="22"/>
      <c r="I10">
        <v>0</v>
      </c>
      <c r="J10">
        <v>4</v>
      </c>
      <c r="K10">
        <v>4.2683623579999999E-5</v>
      </c>
      <c r="L10">
        <v>0</v>
      </c>
      <c r="M10">
        <v>1</v>
      </c>
      <c r="N10">
        <v>-7.991320192699999</v>
      </c>
      <c r="O10">
        <v>1</v>
      </c>
    </row>
    <row r="11" spans="1:15" x14ac:dyDescent="0.2">
      <c r="B11" s="5" t="s">
        <v>132</v>
      </c>
      <c r="C11" s="5" t="s">
        <v>133</v>
      </c>
      <c r="D11" s="5" t="s">
        <v>134</v>
      </c>
      <c r="E11" s="5" t="s">
        <v>135</v>
      </c>
      <c r="F11" s="5" t="s">
        <v>136</v>
      </c>
      <c r="G11" s="5" t="s">
        <v>137</v>
      </c>
      <c r="I11">
        <v>0</v>
      </c>
      <c r="J11">
        <v>5</v>
      </c>
      <c r="K11">
        <v>9.1303893499999997E-5</v>
      </c>
      <c r="L11">
        <v>0</v>
      </c>
      <c r="M11">
        <v>2</v>
      </c>
      <c r="N11">
        <v>-0.70672954298000001</v>
      </c>
      <c r="O11">
        <v>2</v>
      </c>
    </row>
    <row r="12" spans="1:15" x14ac:dyDescent="0.2">
      <c r="B12" s="2" t="s">
        <v>138</v>
      </c>
      <c r="C12" s="13" cm="1">
        <f t="array" ref="C12">_xldudf_ALM_PRA_FS($B12,5,$C$5,$C$6,$C$7)</f>
        <v>16</v>
      </c>
      <c r="D12" s="13" cm="1">
        <f t="array" ref="D12">_xldudf_ALM_PRA_FS($B12,10,$C$5,$C$6,$C$7)</f>
        <v>35</v>
      </c>
      <c r="E12" s="13" cm="1">
        <f t="array" ref="E12">_xldudf_ALM_PRA_FS($B12,15,$C$5,$C$6,$C$7)</f>
        <v>33</v>
      </c>
      <c r="F12" s="13" cm="1">
        <f t="array" ref="F12">_xldudf_ALM_PRA_FS($B12,20,$C$5,$C$6,$C$7)</f>
        <v>33</v>
      </c>
      <c r="G12" s="13" cm="1">
        <f t="array" ref="G12">_xldudf_ALM_PRA_FS($B12,30,$C$5,$C$6,$C$7)</f>
        <v>33</v>
      </c>
      <c r="I12">
        <v>0</v>
      </c>
      <c r="J12">
        <v>6</v>
      </c>
      <c r="K12">
        <v>1.6813735590199999E-4</v>
      </c>
      <c r="L12">
        <v>0</v>
      </c>
      <c r="M12">
        <v>2</v>
      </c>
      <c r="N12">
        <v>6.07272050068</v>
      </c>
      <c r="O12">
        <v>2</v>
      </c>
    </row>
    <row r="13" spans="1:15" x14ac:dyDescent="0.2">
      <c r="B13" s="2" t="s">
        <v>139</v>
      </c>
      <c r="C13" s="13" cm="1">
        <f t="array" ref="C13">_xldudf_ALM_PRA_FS($B13,5,$C$5,$C$6,$C$7)</f>
        <v>28.999999999999996</v>
      </c>
      <c r="D13" s="13" cm="1">
        <f t="array" ref="D13">_xldudf_ALM_PRA_FS($B13,10,$C$5,$C$6,$C$7)</f>
        <v>43</v>
      </c>
      <c r="E13" s="13" cm="1">
        <f t="array" ref="E13">_xldudf_ALM_PRA_FS($B13,15,$C$5,$C$6,$C$7)</f>
        <v>45</v>
      </c>
      <c r="F13" s="13" cm="1">
        <f t="array" ref="F13">_xldudf_ALM_PRA_FS($B13,20,$C$5,$C$6,$C$7)</f>
        <v>52</v>
      </c>
      <c r="G13" s="13" cm="1">
        <f t="array" ref="G13">_xldudf_ALM_PRA_FS($B13,30,$C$5,$C$6,$C$7)</f>
        <v>77</v>
      </c>
      <c r="I13">
        <v>0</v>
      </c>
      <c r="J13">
        <v>7</v>
      </c>
      <c r="K13">
        <v>2.8043086699500001E-4</v>
      </c>
      <c r="L13">
        <v>0</v>
      </c>
      <c r="M13">
        <v>2</v>
      </c>
      <c r="N13">
        <v>12.47120379279</v>
      </c>
      <c r="O13">
        <v>4</v>
      </c>
    </row>
    <row r="14" spans="1:15" x14ac:dyDescent="0.2">
      <c r="B14" s="2" t="s">
        <v>140</v>
      </c>
      <c r="C14" s="13" cm="1">
        <f t="array" ref="C14">_xldudf_ALM_PRA_FS($B14,5,$C$5,$C$6,$C$7)</f>
        <v>56.999999999999993</v>
      </c>
      <c r="D14" s="13" cm="1">
        <f t="array" ref="D14">_xldudf_ALM_PRA_FS($B14,10,$C$5,$C$6,$C$7)</f>
        <v>59</v>
      </c>
      <c r="E14" s="13" cm="1">
        <f t="array" ref="E14">_xldudf_ALM_PRA_FS($B14,15,$C$5,$C$6,$C$7)</f>
        <v>61</v>
      </c>
      <c r="F14" s="13" cm="1">
        <f t="array" ref="F14">_xldudf_ALM_PRA_FS($B14,20,$C$5,$C$6,$C$7)</f>
        <v>61</v>
      </c>
      <c r="G14" s="13" cm="1">
        <f t="array" ref="G14">_xldudf_ALM_PRA_FS($B14,30,$C$5,$C$6,$C$7)</f>
        <v>72</v>
      </c>
      <c r="I14">
        <v>0</v>
      </c>
      <c r="J14">
        <v>8</v>
      </c>
      <c r="K14">
        <v>4.3587354156800001E-4</v>
      </c>
      <c r="L14">
        <v>0</v>
      </c>
      <c r="M14">
        <v>3</v>
      </c>
      <c r="N14">
        <v>19.36808700125</v>
      </c>
      <c r="O14">
        <v>7.0000000000000009</v>
      </c>
    </row>
    <row r="15" spans="1:15" x14ac:dyDescent="0.2">
      <c r="I15">
        <v>0</v>
      </c>
      <c r="J15">
        <v>9</v>
      </c>
      <c r="K15">
        <v>6.4257837712000004E-4</v>
      </c>
      <c r="L15">
        <v>1</v>
      </c>
      <c r="M15">
        <v>3</v>
      </c>
      <c r="N15">
        <v>27.768110870309997</v>
      </c>
      <c r="O15">
        <v>10</v>
      </c>
    </row>
    <row r="16" spans="1:15" ht="17" x14ac:dyDescent="0.2">
      <c r="B16" s="21" t="s">
        <v>141</v>
      </c>
      <c r="C16" s="22"/>
      <c r="D16" s="22"/>
      <c r="E16" s="22"/>
      <c r="F16" s="22"/>
      <c r="G16" s="22"/>
      <c r="H16" s="22"/>
      <c r="I16">
        <v>0</v>
      </c>
      <c r="J16">
        <v>10</v>
      </c>
      <c r="K16">
        <v>9.0904035726799997E-4</v>
      </c>
      <c r="L16">
        <v>1</v>
      </c>
      <c r="M16">
        <v>3</v>
      </c>
      <c r="N16">
        <v>33.813870763589996</v>
      </c>
      <c r="O16">
        <v>12</v>
      </c>
    </row>
    <row r="17" spans="2:15" x14ac:dyDescent="0.2">
      <c r="B17" s="2" t="s">
        <v>142</v>
      </c>
      <c r="C17" s="13" cm="1">
        <f t="array" ref="C17">_xldudf_ALM_PRA_FS("A",10,$C$5,$C$6,$C$7)</f>
        <v>43</v>
      </c>
      <c r="I17">
        <v>0</v>
      </c>
      <c r="J17">
        <v>11</v>
      </c>
      <c r="K17">
        <v>1.2440738007579999E-3</v>
      </c>
      <c r="L17">
        <v>1</v>
      </c>
      <c r="M17">
        <v>3</v>
      </c>
      <c r="N17">
        <v>31.591436324459998</v>
      </c>
      <c r="O17">
        <v>11</v>
      </c>
    </row>
    <row r="18" spans="2:15" x14ac:dyDescent="0.2">
      <c r="B18" s="2" t="s">
        <v>143</v>
      </c>
      <c r="C18" s="13" cm="1">
        <f t="array" ref="C18">_xldudf_ALM_PRA_PD_SPREAD("A",10,$C$5,$C$6,$C$7)</f>
        <v>9</v>
      </c>
      <c r="I18">
        <v>0</v>
      </c>
      <c r="J18">
        <v>12</v>
      </c>
      <c r="K18">
        <v>1.656732935546E-3</v>
      </c>
      <c r="L18">
        <v>1</v>
      </c>
      <c r="M18">
        <v>4</v>
      </c>
      <c r="N18">
        <v>29.40613453836</v>
      </c>
      <c r="O18">
        <v>10</v>
      </c>
    </row>
    <row r="19" spans="2:15" x14ac:dyDescent="0.2">
      <c r="B19" s="2" t="s">
        <v>144</v>
      </c>
      <c r="C19" s="13" cm="1">
        <f t="array" ref="C19">_xldudf_ALM_PRA_COD("A",10,$C$5,$C$6,$C$7)</f>
        <v>19</v>
      </c>
      <c r="I19">
        <v>0</v>
      </c>
      <c r="J19">
        <v>13</v>
      </c>
      <c r="K19">
        <v>2.1562202030249999E-3</v>
      </c>
      <c r="L19">
        <v>1</v>
      </c>
      <c r="M19">
        <v>4</v>
      </c>
      <c r="N19">
        <v>27.217409379360003</v>
      </c>
      <c r="O19">
        <v>10</v>
      </c>
    </row>
    <row r="20" spans="2:15" x14ac:dyDescent="0.2">
      <c r="B20" s="2" t="s">
        <v>145</v>
      </c>
      <c r="C20" s="13" cm="1">
        <f t="array" ref="C20">_xldudf_ALM_PRA_LTAS("A",10,$C$5,$C$6,$C$7)</f>
        <v>124.0640875032</v>
      </c>
      <c r="I20">
        <v>0</v>
      </c>
      <c r="J20">
        <v>14</v>
      </c>
      <c r="K20">
        <v>2.751786834355E-3</v>
      </c>
      <c r="L20">
        <v>1</v>
      </c>
      <c r="M20">
        <v>4</v>
      </c>
      <c r="N20">
        <v>27.201627787440003</v>
      </c>
      <c r="O20">
        <v>10</v>
      </c>
    </row>
    <row r="21" spans="2:15" x14ac:dyDescent="0.2">
      <c r="B21" s="2" t="s">
        <v>146</v>
      </c>
      <c r="C21" s="17" cm="1">
        <f t="array" ref="C21">_xldudf_ALM_PRA_PD_PROB("A",10,$C$5,$C$6,$C$7)</f>
        <v>1.2139390330279999E-2</v>
      </c>
      <c r="I21">
        <v>0</v>
      </c>
      <c r="J21">
        <v>15</v>
      </c>
      <c r="K21">
        <v>3.4526299545480001E-3</v>
      </c>
      <c r="L21">
        <v>2</v>
      </c>
      <c r="M21">
        <v>4</v>
      </c>
      <c r="N21">
        <v>27.505080846160002</v>
      </c>
      <c r="O21">
        <v>10</v>
      </c>
    </row>
    <row r="22" spans="2:15" x14ac:dyDescent="0.2">
      <c r="I22">
        <v>0</v>
      </c>
      <c r="J22">
        <v>16</v>
      </c>
      <c r="K22">
        <v>4.2677899890859999E-3</v>
      </c>
      <c r="L22">
        <v>2</v>
      </c>
      <c r="M22">
        <v>4</v>
      </c>
      <c r="N22">
        <v>27.660414097730001</v>
      </c>
      <c r="O22">
        <v>10</v>
      </c>
    </row>
    <row r="23" spans="2:15" ht="17" x14ac:dyDescent="0.2">
      <c r="B23" s="21" t="s">
        <v>147</v>
      </c>
      <c r="C23" s="22"/>
      <c r="D23" s="22"/>
      <c r="E23" s="22"/>
      <c r="F23" s="22"/>
      <c r="G23" s="22"/>
      <c r="H23" s="22"/>
      <c r="I23">
        <v>0</v>
      </c>
      <c r="J23">
        <v>17</v>
      </c>
      <c r="K23">
        <v>5.2060515669330003E-3</v>
      </c>
      <c r="L23">
        <v>2</v>
      </c>
      <c r="M23">
        <v>5</v>
      </c>
      <c r="N23">
        <v>27.809680135699999</v>
      </c>
      <c r="O23">
        <v>10</v>
      </c>
    </row>
    <row r="24" spans="2:15" x14ac:dyDescent="0.2">
      <c r="B24" s="7" t="str" cm="1">
        <f t="array" ref="B24:F54">_xldudf_ALM_PRA_FS_BREAKDOWN("AA",$C$5,$C$6,$C$7,TRUE)</f>
        <v>tenor</v>
      </c>
      <c r="C24" t="str">
        <v>pd_cod</v>
      </c>
      <c r="D24" t="str">
        <v>ltas_floor</v>
      </c>
      <c r="E24" t="str">
        <v>fs</v>
      </c>
      <c r="F24" t="str">
        <v>driver</v>
      </c>
      <c r="I24">
        <v>0</v>
      </c>
      <c r="J24">
        <v>18</v>
      </c>
      <c r="K24">
        <v>6.2758504999829998E-3</v>
      </c>
      <c r="L24">
        <v>2</v>
      </c>
      <c r="M24">
        <v>5</v>
      </c>
      <c r="N24">
        <v>27.898978989970004</v>
      </c>
      <c r="O24">
        <v>10</v>
      </c>
    </row>
    <row r="25" spans="2:15" x14ac:dyDescent="0.2">
      <c r="B25">
        <v>1</v>
      </c>
      <c r="C25">
        <v>0</v>
      </c>
      <c r="D25">
        <v>10.591671463218999</v>
      </c>
      <c r="E25">
        <v>11</v>
      </c>
      <c r="F25" t="str">
        <v>LTAS Floor</v>
      </c>
      <c r="I25">
        <v>0</v>
      </c>
      <c r="J25">
        <v>19</v>
      </c>
      <c r="K25">
        <v>7.4851888174470001E-3</v>
      </c>
      <c r="L25">
        <v>3</v>
      </c>
      <c r="M25">
        <v>5</v>
      </c>
      <c r="N25">
        <v>27.98395254155</v>
      </c>
      <c r="O25">
        <v>10</v>
      </c>
    </row>
    <row r="26" spans="2:15" x14ac:dyDescent="0.2">
      <c r="B26">
        <v>2</v>
      </c>
      <c r="C26">
        <v>1</v>
      </c>
      <c r="D26">
        <v>10.591671463218999</v>
      </c>
      <c r="E26">
        <v>11</v>
      </c>
      <c r="F26" t="str">
        <v>LTAS Floor</v>
      </c>
      <c r="I26">
        <v>0</v>
      </c>
      <c r="J26">
        <v>20</v>
      </c>
      <c r="K26">
        <v>8.8415592734200008E-3</v>
      </c>
      <c r="L26">
        <v>3</v>
      </c>
      <c r="M26">
        <v>5</v>
      </c>
      <c r="N26">
        <v>28.058201503100001</v>
      </c>
      <c r="O26">
        <v>10</v>
      </c>
    </row>
    <row r="27" spans="2:15" x14ac:dyDescent="0.2">
      <c r="B27">
        <v>3</v>
      </c>
      <c r="C27">
        <v>2</v>
      </c>
      <c r="D27">
        <v>10.972692247019999</v>
      </c>
      <c r="E27">
        <v>11</v>
      </c>
      <c r="F27" t="str">
        <v>LTAS Floor</v>
      </c>
      <c r="I27">
        <v>0</v>
      </c>
      <c r="J27">
        <v>21</v>
      </c>
      <c r="K27">
        <v>1.0351880243809E-2</v>
      </c>
      <c r="L27">
        <v>3</v>
      </c>
      <c r="M27">
        <v>5</v>
      </c>
      <c r="N27">
        <v>28.130271682989999</v>
      </c>
      <c r="O27">
        <v>10</v>
      </c>
    </row>
    <row r="28" spans="2:15" x14ac:dyDescent="0.2">
      <c r="B28">
        <v>4</v>
      </c>
      <c r="C28">
        <v>3</v>
      </c>
      <c r="D28">
        <v>13.456627472606499</v>
      </c>
      <c r="E28">
        <v>13</v>
      </c>
      <c r="F28" t="str">
        <v>LTAS Floor</v>
      </c>
      <c r="I28">
        <v>0</v>
      </c>
      <c r="J28">
        <v>22</v>
      </c>
      <c r="K28">
        <v>1.2022441493085999E-2</v>
      </c>
      <c r="L28">
        <v>4</v>
      </c>
      <c r="M28">
        <v>5</v>
      </c>
      <c r="N28">
        <v>28.200839017509999</v>
      </c>
      <c r="O28">
        <v>10</v>
      </c>
    </row>
    <row r="29" spans="2:15" x14ac:dyDescent="0.2">
      <c r="B29">
        <v>5</v>
      </c>
      <c r="C29">
        <v>4</v>
      </c>
      <c r="D29">
        <v>16.411328764764498</v>
      </c>
      <c r="E29">
        <v>16</v>
      </c>
      <c r="F29" t="str">
        <v>LTAS Floor</v>
      </c>
      <c r="I29">
        <v>0</v>
      </c>
      <c r="J29">
        <v>23</v>
      </c>
      <c r="K29">
        <v>1.3858860924302999E-2</v>
      </c>
      <c r="L29">
        <v>4</v>
      </c>
      <c r="M29">
        <v>5</v>
      </c>
      <c r="N29">
        <v>28.269706115549997</v>
      </c>
      <c r="O29">
        <v>10</v>
      </c>
    </row>
    <row r="30" spans="2:15" x14ac:dyDescent="0.2">
      <c r="B30">
        <v>6</v>
      </c>
      <c r="C30">
        <v>5</v>
      </c>
      <c r="D30">
        <v>19.471680931447498</v>
      </c>
      <c r="E30">
        <v>19</v>
      </c>
      <c r="F30" t="str">
        <v>LTAS Floor</v>
      </c>
      <c r="I30">
        <v>0</v>
      </c>
      <c r="J30">
        <v>24</v>
      </c>
      <c r="K30">
        <v>1.5866052125636E-2</v>
      </c>
      <c r="L30">
        <v>4</v>
      </c>
      <c r="M30">
        <v>5</v>
      </c>
      <c r="N30">
        <v>28.3390927449</v>
      </c>
      <c r="O30">
        <v>10</v>
      </c>
    </row>
    <row r="31" spans="2:15" x14ac:dyDescent="0.2">
      <c r="B31">
        <v>7</v>
      </c>
      <c r="C31">
        <v>6</v>
      </c>
      <c r="D31">
        <v>22.389875527592999</v>
      </c>
      <c r="E31">
        <v>22</v>
      </c>
      <c r="F31" t="str">
        <v>LTAS Floor</v>
      </c>
      <c r="I31">
        <v>0</v>
      </c>
      <c r="J31">
        <v>25</v>
      </c>
      <c r="K31">
        <v>1.8048202289004001E-2</v>
      </c>
      <c r="L31">
        <v>5</v>
      </c>
      <c r="M31">
        <v>5</v>
      </c>
      <c r="N31">
        <v>28.411025368929998</v>
      </c>
      <c r="O31">
        <v>10</v>
      </c>
    </row>
    <row r="32" spans="2:15" x14ac:dyDescent="0.2">
      <c r="B32">
        <v>8</v>
      </c>
      <c r="C32">
        <v>7</v>
      </c>
      <c r="D32">
        <v>25.525475064382999</v>
      </c>
      <c r="E32">
        <v>26</v>
      </c>
      <c r="F32" t="str">
        <v>LTAS Floor</v>
      </c>
      <c r="I32">
        <v>0</v>
      </c>
      <c r="J32">
        <v>26</v>
      </c>
      <c r="K32">
        <v>2.0408759895172001E-2</v>
      </c>
      <c r="L32">
        <v>5</v>
      </c>
      <c r="M32">
        <v>5</v>
      </c>
      <c r="N32">
        <v>28.458735985450001</v>
      </c>
      <c r="O32">
        <v>10</v>
      </c>
    </row>
    <row r="33" spans="2:15" x14ac:dyDescent="0.2">
      <c r="B33">
        <v>9</v>
      </c>
      <c r="C33">
        <v>8</v>
      </c>
      <c r="D33">
        <v>31.778011516677992</v>
      </c>
      <c r="E33">
        <v>32</v>
      </c>
      <c r="F33" t="str">
        <v>LTAS Floor</v>
      </c>
      <c r="I33">
        <v>0</v>
      </c>
      <c r="J33">
        <v>27</v>
      </c>
      <c r="K33">
        <v>2.2950431428648999E-2</v>
      </c>
      <c r="L33">
        <v>5</v>
      </c>
      <c r="M33">
        <v>6</v>
      </c>
      <c r="N33">
        <v>28.49001508976</v>
      </c>
      <c r="O33">
        <v>11</v>
      </c>
    </row>
    <row r="34" spans="2:15" x14ac:dyDescent="0.2">
      <c r="B34">
        <v>10</v>
      </c>
      <c r="C34">
        <v>9</v>
      </c>
      <c r="D34">
        <v>34.622396191187001</v>
      </c>
      <c r="E34">
        <v>35</v>
      </c>
      <c r="F34" t="str">
        <v>LTAS Floor</v>
      </c>
      <c r="I34">
        <v>0</v>
      </c>
      <c r="J34">
        <v>28</v>
      </c>
      <c r="K34">
        <v>2.5675186297699E-2</v>
      </c>
      <c r="L34">
        <v>6</v>
      </c>
      <c r="M34">
        <v>6</v>
      </c>
      <c r="N34">
        <v>28.498952290809999</v>
      </c>
      <c r="O34">
        <v>12</v>
      </c>
    </row>
    <row r="35" spans="2:15" x14ac:dyDescent="0.2">
      <c r="B35">
        <v>11</v>
      </c>
      <c r="C35">
        <v>10</v>
      </c>
      <c r="D35">
        <v>33.898605497805995</v>
      </c>
      <c r="E35">
        <v>34</v>
      </c>
      <c r="F35" t="str">
        <v>LTAS Floor</v>
      </c>
      <c r="I35">
        <v>0</v>
      </c>
      <c r="J35">
        <v>29</v>
      </c>
      <c r="K35">
        <v>2.8584269083314E-2</v>
      </c>
      <c r="L35">
        <v>6</v>
      </c>
      <c r="M35">
        <v>6</v>
      </c>
      <c r="N35">
        <v>28.499683709419998</v>
      </c>
      <c r="O35">
        <v>12</v>
      </c>
    </row>
    <row r="36" spans="2:15" x14ac:dyDescent="0.2">
      <c r="B36">
        <v>12</v>
      </c>
      <c r="C36">
        <v>10</v>
      </c>
      <c r="D36">
        <v>33.167106825534496</v>
      </c>
      <c r="E36">
        <v>33</v>
      </c>
      <c r="F36" t="str">
        <v>LTAS Floor</v>
      </c>
      <c r="I36">
        <v>0</v>
      </c>
      <c r="J36">
        <v>30</v>
      </c>
      <c r="K36">
        <v>3.1678218219758997E-2</v>
      </c>
      <c r="L36">
        <v>7.0000000000000009</v>
      </c>
      <c r="M36">
        <v>6</v>
      </c>
      <c r="N36">
        <v>28.499683709419998</v>
      </c>
      <c r="O36">
        <v>13</v>
      </c>
    </row>
    <row r="37" spans="2:15" x14ac:dyDescent="0.2">
      <c r="B37">
        <v>13</v>
      </c>
      <c r="C37">
        <v>12</v>
      </c>
      <c r="D37">
        <v>32.436286115001998</v>
      </c>
      <c r="E37">
        <v>32</v>
      </c>
      <c r="F37" t="str">
        <v>LTAS Floor</v>
      </c>
      <c r="I37">
        <v>1</v>
      </c>
      <c r="J37">
        <v>1</v>
      </c>
      <c r="K37">
        <v>0</v>
      </c>
      <c r="L37">
        <v>0</v>
      </c>
      <c r="M37">
        <v>0</v>
      </c>
      <c r="N37">
        <v>30.261918466339999</v>
      </c>
      <c r="O37">
        <v>11</v>
      </c>
    </row>
    <row r="38" spans="2:15" x14ac:dyDescent="0.2">
      <c r="B38">
        <v>14</v>
      </c>
      <c r="C38">
        <v>12</v>
      </c>
      <c r="D38">
        <v>32.471045427512998</v>
      </c>
      <c r="E38">
        <v>32</v>
      </c>
      <c r="F38" t="str">
        <v>LTAS Floor</v>
      </c>
      <c r="I38">
        <v>1</v>
      </c>
      <c r="J38">
        <v>2</v>
      </c>
      <c r="K38">
        <v>5.4669999999999997E-5</v>
      </c>
      <c r="L38">
        <v>0</v>
      </c>
      <c r="M38">
        <v>1</v>
      </c>
      <c r="N38">
        <v>30.261918466339999</v>
      </c>
      <c r="O38">
        <v>11</v>
      </c>
    </row>
    <row r="39" spans="2:15" x14ac:dyDescent="0.2">
      <c r="B39">
        <v>15</v>
      </c>
      <c r="C39">
        <v>14</v>
      </c>
      <c r="D39">
        <v>32.618545915014494</v>
      </c>
      <c r="E39">
        <v>33</v>
      </c>
      <c r="F39" t="str">
        <v>LTAS Floor</v>
      </c>
      <c r="I39">
        <v>1</v>
      </c>
      <c r="J39">
        <v>3</v>
      </c>
      <c r="K39">
        <v>1.7241317899999999E-4</v>
      </c>
      <c r="L39">
        <v>0</v>
      </c>
      <c r="M39">
        <v>2</v>
      </c>
      <c r="N39">
        <v>31.350549277200003</v>
      </c>
      <c r="O39">
        <v>11</v>
      </c>
    </row>
    <row r="40" spans="2:15" x14ac:dyDescent="0.2">
      <c r="B40">
        <v>16</v>
      </c>
      <c r="C40">
        <v>14</v>
      </c>
      <c r="D40">
        <v>32.685712036218497</v>
      </c>
      <c r="E40">
        <v>33</v>
      </c>
      <c r="F40" t="str">
        <v>LTAS Floor</v>
      </c>
      <c r="I40">
        <v>1</v>
      </c>
      <c r="J40">
        <v>4</v>
      </c>
      <c r="K40">
        <v>3.6228984324399998E-4</v>
      </c>
      <c r="L40">
        <v>1</v>
      </c>
      <c r="M40">
        <v>2</v>
      </c>
      <c r="N40">
        <v>38.447507064589999</v>
      </c>
      <c r="O40">
        <v>13</v>
      </c>
    </row>
    <row r="41" spans="2:15" x14ac:dyDescent="0.2">
      <c r="B41">
        <v>17</v>
      </c>
      <c r="C41">
        <v>16</v>
      </c>
      <c r="D41">
        <v>32.746882623364002</v>
      </c>
      <c r="E41">
        <v>33</v>
      </c>
      <c r="F41" t="str">
        <v>LTAS Floor</v>
      </c>
      <c r="I41">
        <v>1</v>
      </c>
      <c r="J41">
        <v>5</v>
      </c>
      <c r="K41">
        <v>6.3408626738699998E-4</v>
      </c>
      <c r="L41">
        <v>1</v>
      </c>
      <c r="M41">
        <v>3</v>
      </c>
      <c r="N41">
        <v>46.889510756469996</v>
      </c>
      <c r="O41">
        <v>16</v>
      </c>
    </row>
    <row r="42" spans="2:15" x14ac:dyDescent="0.2">
      <c r="B42">
        <v>18</v>
      </c>
      <c r="C42">
        <v>16</v>
      </c>
      <c r="D42">
        <v>32.782928651843996</v>
      </c>
      <c r="E42">
        <v>33</v>
      </c>
      <c r="F42" t="str">
        <v>LTAS Floor</v>
      </c>
      <c r="I42">
        <v>1</v>
      </c>
      <c r="J42">
        <v>6</v>
      </c>
      <c r="K42">
        <v>9.9828714776799992E-4</v>
      </c>
      <c r="L42">
        <v>1</v>
      </c>
      <c r="M42">
        <v>4</v>
      </c>
      <c r="N42">
        <v>55.633374089849994</v>
      </c>
      <c r="O42">
        <v>19</v>
      </c>
    </row>
    <row r="43" spans="2:15" x14ac:dyDescent="0.2">
      <c r="B43">
        <v>19</v>
      </c>
      <c r="C43">
        <v>17</v>
      </c>
      <c r="D43">
        <v>32.817452126126497</v>
      </c>
      <c r="E43">
        <v>33</v>
      </c>
      <c r="F43" t="str">
        <v>LTAS Floor</v>
      </c>
      <c r="I43">
        <v>1</v>
      </c>
      <c r="J43">
        <v>7</v>
      </c>
      <c r="K43">
        <v>1.465954980994E-3</v>
      </c>
      <c r="L43">
        <v>2</v>
      </c>
      <c r="M43">
        <v>4</v>
      </c>
      <c r="N43">
        <v>63.971072935979997</v>
      </c>
      <c r="O43">
        <v>22</v>
      </c>
    </row>
    <row r="44" spans="2:15" x14ac:dyDescent="0.2">
      <c r="B44">
        <v>20</v>
      </c>
      <c r="C44">
        <v>18</v>
      </c>
      <c r="D44">
        <v>32.847542797310496</v>
      </c>
      <c r="E44">
        <v>33</v>
      </c>
      <c r="F44" t="str">
        <v>LTAS Floor</v>
      </c>
      <c r="I44">
        <v>1</v>
      </c>
      <c r="J44">
        <v>8</v>
      </c>
      <c r="K44">
        <v>2.0485428593039999E-3</v>
      </c>
      <c r="L44">
        <v>2</v>
      </c>
      <c r="M44">
        <v>5</v>
      </c>
      <c r="N44">
        <v>72.929928755380004</v>
      </c>
      <c r="O44">
        <v>26</v>
      </c>
    </row>
    <row r="45" spans="2:15" x14ac:dyDescent="0.2">
      <c r="B45">
        <v>21</v>
      </c>
      <c r="C45">
        <v>19</v>
      </c>
      <c r="D45">
        <v>32.876719513056997</v>
      </c>
      <c r="E45">
        <v>33</v>
      </c>
      <c r="F45" t="str">
        <v>LTAS Floor</v>
      </c>
      <c r="I45">
        <v>1</v>
      </c>
      <c r="J45">
        <v>9</v>
      </c>
      <c r="K45">
        <v>2.7576701002590001E-3</v>
      </c>
      <c r="L45">
        <v>2</v>
      </c>
      <c r="M45">
        <v>6</v>
      </c>
      <c r="N45">
        <v>90.794318619079988</v>
      </c>
      <c r="O45">
        <v>32</v>
      </c>
    </row>
    <row r="46" spans="2:15" x14ac:dyDescent="0.2">
      <c r="B46">
        <v>22</v>
      </c>
      <c r="C46">
        <v>20</v>
      </c>
      <c r="D46">
        <v>32.905303632446</v>
      </c>
      <c r="E46">
        <v>33</v>
      </c>
      <c r="F46" t="str">
        <v>LTAS Floor</v>
      </c>
      <c r="I46">
        <v>1</v>
      </c>
      <c r="J46">
        <v>10</v>
      </c>
      <c r="K46">
        <v>3.604885713916E-3</v>
      </c>
      <c r="L46">
        <v>3</v>
      </c>
      <c r="M46">
        <v>6</v>
      </c>
      <c r="N46">
        <v>98.92113197482</v>
      </c>
      <c r="O46">
        <v>35</v>
      </c>
    </row>
    <row r="47" spans="2:15" x14ac:dyDescent="0.2">
      <c r="B47">
        <v>23</v>
      </c>
      <c r="C47">
        <v>21</v>
      </c>
      <c r="D47">
        <v>32.933230374446495</v>
      </c>
      <c r="E47">
        <v>33</v>
      </c>
      <c r="F47" t="str">
        <v>LTAS Floor</v>
      </c>
      <c r="I47">
        <v>1</v>
      </c>
      <c r="J47">
        <v>11</v>
      </c>
      <c r="K47">
        <v>4.6014384369509999E-3</v>
      </c>
      <c r="L47">
        <v>3</v>
      </c>
      <c r="M47">
        <v>7.0000000000000009</v>
      </c>
      <c r="N47">
        <v>96.853158565160001</v>
      </c>
      <c r="O47">
        <v>34</v>
      </c>
    </row>
    <row r="48" spans="2:15" x14ac:dyDescent="0.2">
      <c r="B48">
        <v>24</v>
      </c>
      <c r="C48">
        <v>22</v>
      </c>
      <c r="D48">
        <v>32.961277963953499</v>
      </c>
      <c r="E48">
        <v>33</v>
      </c>
      <c r="F48" t="str">
        <v>LTAS Floor</v>
      </c>
      <c r="I48">
        <v>1</v>
      </c>
      <c r="J48">
        <v>12</v>
      </c>
      <c r="K48">
        <v>5.7580660947149998E-3</v>
      </c>
      <c r="L48">
        <v>3</v>
      </c>
      <c r="M48">
        <v>7.0000000000000009</v>
      </c>
      <c r="N48">
        <v>94.763162358670002</v>
      </c>
      <c r="O48">
        <v>33</v>
      </c>
    </row>
    <row r="49" spans="2:15" x14ac:dyDescent="0.2">
      <c r="B49">
        <v>25</v>
      </c>
      <c r="C49">
        <v>23</v>
      </c>
      <c r="D49">
        <v>32.990148564393998</v>
      </c>
      <c r="E49">
        <v>33</v>
      </c>
      <c r="F49" t="str">
        <v>LTAS Floor</v>
      </c>
      <c r="I49">
        <v>1</v>
      </c>
      <c r="J49">
        <v>13</v>
      </c>
      <c r="K49">
        <v>7.0848121070309997E-3</v>
      </c>
      <c r="L49">
        <v>4</v>
      </c>
      <c r="M49">
        <v>8</v>
      </c>
      <c r="N49">
        <v>92.675103185720005</v>
      </c>
      <c r="O49">
        <v>32</v>
      </c>
    </row>
    <row r="50" spans="2:15" x14ac:dyDescent="0.2">
      <c r="B50">
        <v>26</v>
      </c>
      <c r="C50">
        <v>24</v>
      </c>
      <c r="D50">
        <v>33.009113546171001</v>
      </c>
      <c r="E50">
        <v>33</v>
      </c>
      <c r="F50" t="str">
        <v>LTAS Floor</v>
      </c>
      <c r="I50">
        <v>1</v>
      </c>
      <c r="J50">
        <v>14</v>
      </c>
      <c r="K50">
        <v>8.5908731463520006E-3</v>
      </c>
      <c r="L50">
        <v>4</v>
      </c>
      <c r="M50">
        <v>8</v>
      </c>
      <c r="N50">
        <v>92.774415507179995</v>
      </c>
      <c r="O50">
        <v>32</v>
      </c>
    </row>
    <row r="51" spans="2:15" x14ac:dyDescent="0.2">
      <c r="B51">
        <v>27</v>
      </c>
      <c r="C51">
        <v>25</v>
      </c>
      <c r="D51">
        <v>33.021568650332497</v>
      </c>
      <c r="E51">
        <v>33</v>
      </c>
      <c r="F51" t="str">
        <v>LTAS Floor</v>
      </c>
      <c r="I51">
        <v>1</v>
      </c>
      <c r="J51">
        <v>15</v>
      </c>
      <c r="K51">
        <v>1.0284479173246999E-2</v>
      </c>
      <c r="L51">
        <v>5</v>
      </c>
      <c r="M51">
        <v>9</v>
      </c>
      <c r="N51">
        <v>93.195845471469994</v>
      </c>
      <c r="O51">
        <v>33</v>
      </c>
    </row>
    <row r="52" spans="2:15" x14ac:dyDescent="0.2">
      <c r="B52">
        <v>28</v>
      </c>
      <c r="C52">
        <v>25</v>
      </c>
      <c r="D52">
        <v>33.025182219855004</v>
      </c>
      <c r="E52">
        <v>33</v>
      </c>
      <c r="F52" t="str">
        <v>LTAS Floor</v>
      </c>
      <c r="I52">
        <v>1</v>
      </c>
      <c r="J52">
        <v>16</v>
      </c>
      <c r="K52">
        <v>1.2172805132601E-2</v>
      </c>
      <c r="L52">
        <v>5</v>
      </c>
      <c r="M52">
        <v>9</v>
      </c>
      <c r="N52">
        <v>93.38774867491</v>
      </c>
      <c r="O52">
        <v>33</v>
      </c>
    </row>
    <row r="53" spans="2:15" x14ac:dyDescent="0.2">
      <c r="B53">
        <v>29</v>
      </c>
      <c r="C53">
        <v>27</v>
      </c>
      <c r="D53">
        <v>33.025479024856502</v>
      </c>
      <c r="E53">
        <v>33</v>
      </c>
      <c r="F53" t="str">
        <v>LTAS Floor</v>
      </c>
      <c r="I53">
        <v>1</v>
      </c>
      <c r="J53">
        <v>17</v>
      </c>
      <c r="K53">
        <v>1.4261912311518E-2</v>
      </c>
      <c r="L53">
        <v>6</v>
      </c>
      <c r="M53">
        <v>10</v>
      </c>
      <c r="N53">
        <v>93.562521781040004</v>
      </c>
      <c r="O53">
        <v>33</v>
      </c>
    </row>
    <row r="54" spans="2:15" x14ac:dyDescent="0.2">
      <c r="B54">
        <v>30</v>
      </c>
      <c r="C54">
        <v>27</v>
      </c>
      <c r="D54">
        <v>33.025479024856502</v>
      </c>
      <c r="E54">
        <v>33</v>
      </c>
      <c r="F54" t="str">
        <v>LTAS Floor</v>
      </c>
      <c r="I54">
        <v>1</v>
      </c>
      <c r="J54">
        <v>18</v>
      </c>
      <c r="K54">
        <v>1.6556716576907E-2</v>
      </c>
      <c r="L54">
        <v>6</v>
      </c>
      <c r="M54">
        <v>10</v>
      </c>
      <c r="N54">
        <v>93.665510433839998</v>
      </c>
      <c r="O54">
        <v>33</v>
      </c>
    </row>
    <row r="55" spans="2:15" x14ac:dyDescent="0.2">
      <c r="I55">
        <v>1</v>
      </c>
      <c r="J55">
        <v>19</v>
      </c>
      <c r="K55">
        <v>1.9060980295865001E-2</v>
      </c>
      <c r="L55">
        <v>7.0000000000000009</v>
      </c>
      <c r="M55">
        <v>10</v>
      </c>
      <c r="N55">
        <v>93.764148931790004</v>
      </c>
      <c r="O55">
        <v>33</v>
      </c>
    </row>
    <row r="56" spans="2:15" x14ac:dyDescent="0.2">
      <c r="I56">
        <v>1</v>
      </c>
      <c r="J56">
        <v>20</v>
      </c>
      <c r="K56">
        <v>2.1777324591391999E-2</v>
      </c>
      <c r="L56">
        <v>7.0000000000000009</v>
      </c>
      <c r="M56">
        <v>11</v>
      </c>
      <c r="N56">
        <v>93.85012227803</v>
      </c>
      <c r="O56">
        <v>33</v>
      </c>
    </row>
    <row r="57" spans="2:15" ht="17" x14ac:dyDescent="0.2">
      <c r="B57" s="21" t="s">
        <v>22</v>
      </c>
      <c r="C57" s="22"/>
      <c r="D57" s="22"/>
      <c r="E57" s="22"/>
      <c r="F57" s="22"/>
      <c r="G57" s="22"/>
      <c r="H57" s="22"/>
      <c r="I57">
        <v>1</v>
      </c>
      <c r="J57">
        <v>21</v>
      </c>
      <c r="K57">
        <v>2.4707258619382999E-2</v>
      </c>
      <c r="L57">
        <v>8</v>
      </c>
      <c r="M57">
        <v>11</v>
      </c>
      <c r="N57">
        <v>93.933484323019997</v>
      </c>
      <c r="O57">
        <v>33</v>
      </c>
    </row>
    <row r="58" spans="2:15" x14ac:dyDescent="0.2">
      <c r="B58" s="2" t="s">
        <v>148</v>
      </c>
      <c r="C58" s="2" t="s">
        <v>149</v>
      </c>
      <c r="D58" s="2" t="s">
        <v>150</v>
      </c>
      <c r="E58" s="2" t="s">
        <v>151</v>
      </c>
      <c r="F58" s="2" t="s">
        <v>152</v>
      </c>
      <c r="I58">
        <v>1</v>
      </c>
      <c r="J58">
        <v>22</v>
      </c>
      <c r="K58">
        <v>2.7851222709247E-2</v>
      </c>
      <c r="L58">
        <v>8</v>
      </c>
      <c r="M58">
        <v>12</v>
      </c>
      <c r="N58">
        <v>94.015153235560007</v>
      </c>
      <c r="O58">
        <v>33</v>
      </c>
    </row>
    <row r="59" spans="2:15" x14ac:dyDescent="0.2">
      <c r="B59" s="7" t="str" cm="1">
        <f t="array" ref="B59:B60">_xldudf_ALM_PRA_CURRENCIES()</f>
        <v>EUR</v>
      </c>
      <c r="C59" s="7" t="str" cm="1">
        <f t="array" ref="C59:C60">_xldudf_ALM_PRA_SECTORS()</f>
        <v>financial</v>
      </c>
      <c r="D59" s="7" cm="1">
        <f t="array" ref="D59:D88">_xldudf_ALM_PRA_TENORS($C$5,$C$6)</f>
        <v>1</v>
      </c>
      <c r="E59" s="7" t="str" cm="1">
        <f t="array" ref="E59:E88">_xldudf_ALM_PRA_DATES($C$5,$C$6)</f>
        <v>2026-07-31</v>
      </c>
      <c r="F59" s="7" t="str" cm="1">
        <f t="array" ref="F59:G66">_xldudf_ALM_PRA_CQS_LABELS()</f>
        <v>cqs</v>
      </c>
      <c r="G59" t="str">
        <v>label</v>
      </c>
      <c r="I59">
        <v>1</v>
      </c>
      <c r="J59">
        <v>23</v>
      </c>
      <c r="K59">
        <v>3.1208642444354E-2</v>
      </c>
      <c r="L59">
        <v>9</v>
      </c>
      <c r="M59">
        <v>12</v>
      </c>
      <c r="N59">
        <v>94.094943926989998</v>
      </c>
      <c r="O59">
        <v>33</v>
      </c>
    </row>
    <row r="60" spans="2:15" x14ac:dyDescent="0.2">
      <c r="B60" t="str">
        <v>GBP</v>
      </c>
      <c r="C60" t="str">
        <v>non-financial</v>
      </c>
      <c r="D60">
        <v>2</v>
      </c>
      <c r="E60" t="str">
        <v>2026-06-30</v>
      </c>
      <c r="F60">
        <v>0</v>
      </c>
      <c r="G60" t="str">
        <v>AAA</v>
      </c>
      <c r="I60">
        <v>1</v>
      </c>
      <c r="J60">
        <v>24</v>
      </c>
      <c r="K60">
        <v>3.4777991036153998E-2</v>
      </c>
      <c r="L60">
        <v>9</v>
      </c>
      <c r="M60">
        <v>13</v>
      </c>
      <c r="N60">
        <v>94.175079897009994</v>
      </c>
      <c r="O60">
        <v>33</v>
      </c>
    </row>
    <row r="61" spans="2:15" x14ac:dyDescent="0.2">
      <c r="D61">
        <v>3</v>
      </c>
      <c r="E61" t="str">
        <v>2026-05-31</v>
      </c>
      <c r="F61">
        <v>1</v>
      </c>
      <c r="G61" t="str">
        <v>AA</v>
      </c>
      <c r="I61">
        <v>1</v>
      </c>
      <c r="J61">
        <v>25</v>
      </c>
      <c r="K61">
        <v>3.8556857643199001E-2</v>
      </c>
      <c r="L61">
        <v>10</v>
      </c>
      <c r="M61">
        <v>13</v>
      </c>
      <c r="N61">
        <v>94.257567326840004</v>
      </c>
      <c r="O61">
        <v>33</v>
      </c>
    </row>
    <row r="62" spans="2:15" x14ac:dyDescent="0.2">
      <c r="D62">
        <v>4</v>
      </c>
      <c r="E62" t="str">
        <v>2026-04-30</v>
      </c>
      <c r="F62">
        <v>2</v>
      </c>
      <c r="G62" t="str">
        <v>A</v>
      </c>
      <c r="I62">
        <v>1</v>
      </c>
      <c r="J62">
        <v>26</v>
      </c>
      <c r="K62">
        <v>4.2542019586187002E-2</v>
      </c>
      <c r="L62">
        <v>10</v>
      </c>
      <c r="M62">
        <v>14.000000000000002</v>
      </c>
      <c r="N62">
        <v>94.311752989060011</v>
      </c>
      <c r="O62">
        <v>33</v>
      </c>
    </row>
    <row r="63" spans="2:15" x14ac:dyDescent="0.2">
      <c r="D63">
        <v>5</v>
      </c>
      <c r="E63" t="str">
        <v>2026-03-31</v>
      </c>
      <c r="F63">
        <v>3</v>
      </c>
      <c r="G63" t="str">
        <v>BBB</v>
      </c>
      <c r="I63">
        <v>1</v>
      </c>
      <c r="J63">
        <v>27</v>
      </c>
      <c r="K63">
        <v>4.6729516700946001E-2</v>
      </c>
      <c r="L63">
        <v>11</v>
      </c>
      <c r="M63">
        <v>14.000000000000002</v>
      </c>
      <c r="N63">
        <v>94.347339000950001</v>
      </c>
      <c r="O63">
        <v>33</v>
      </c>
    </row>
    <row r="64" spans="2:15" x14ac:dyDescent="0.2">
      <c r="D64">
        <v>6</v>
      </c>
      <c r="E64" t="str">
        <v>2026-02-28</v>
      </c>
      <c r="F64">
        <v>4</v>
      </c>
      <c r="G64" t="str">
        <v>BB</v>
      </c>
      <c r="I64">
        <v>1</v>
      </c>
      <c r="J64">
        <v>28</v>
      </c>
      <c r="K64">
        <v>5.1114726345391E-2</v>
      </c>
      <c r="L64">
        <v>11</v>
      </c>
      <c r="M64">
        <v>14.000000000000002</v>
      </c>
      <c r="N64">
        <v>94.357663485300009</v>
      </c>
      <c r="O64">
        <v>33</v>
      </c>
    </row>
    <row r="65" spans="4:15" x14ac:dyDescent="0.2">
      <c r="D65">
        <v>7</v>
      </c>
      <c r="E65" t="str">
        <v>2026-01-31</v>
      </c>
      <c r="F65">
        <v>5</v>
      </c>
      <c r="G65" t="str">
        <v>B</v>
      </c>
      <c r="I65">
        <v>1</v>
      </c>
      <c r="J65">
        <v>29</v>
      </c>
      <c r="K65">
        <v>5.5692437829183997E-2</v>
      </c>
      <c r="L65">
        <v>12</v>
      </c>
      <c r="M65">
        <v>15</v>
      </c>
      <c r="N65">
        <v>94.358511499590008</v>
      </c>
      <c r="O65">
        <v>33</v>
      </c>
    </row>
    <row r="66" spans="4:15" x14ac:dyDescent="0.2">
      <c r="D66">
        <v>8</v>
      </c>
      <c r="E66" t="str">
        <v>2025-12-31</v>
      </c>
      <c r="F66">
        <v>6</v>
      </c>
      <c r="G66" t="str">
        <v>CCC</v>
      </c>
      <c r="I66">
        <v>1</v>
      </c>
      <c r="J66">
        <v>30</v>
      </c>
      <c r="K66">
        <v>6.0456925263828003E-2</v>
      </c>
      <c r="L66">
        <v>12</v>
      </c>
      <c r="M66">
        <v>15</v>
      </c>
      <c r="N66">
        <v>94.358511499590008</v>
      </c>
      <c r="O66">
        <v>33</v>
      </c>
    </row>
    <row r="67" spans="4:15" x14ac:dyDescent="0.2">
      <c r="D67">
        <v>9</v>
      </c>
      <c r="E67" t="str">
        <v>2025-11-30</v>
      </c>
      <c r="I67">
        <v>2</v>
      </c>
      <c r="J67">
        <v>1</v>
      </c>
      <c r="K67">
        <v>5.0000000000000001E-4</v>
      </c>
      <c r="L67">
        <v>4</v>
      </c>
      <c r="M67">
        <v>0</v>
      </c>
      <c r="N67">
        <v>60.835360070370001</v>
      </c>
      <c r="O67">
        <v>21</v>
      </c>
    </row>
    <row r="68" spans="4:15" x14ac:dyDescent="0.2">
      <c r="D68">
        <v>10</v>
      </c>
      <c r="E68" t="str">
        <v>2025-10-31</v>
      </c>
      <c r="I68">
        <v>2</v>
      </c>
      <c r="J68">
        <v>2</v>
      </c>
      <c r="K68">
        <v>1.1137300000000001E-3</v>
      </c>
      <c r="L68">
        <v>4</v>
      </c>
      <c r="M68">
        <v>2</v>
      </c>
      <c r="N68">
        <v>60.835360070370001</v>
      </c>
      <c r="O68">
        <v>21</v>
      </c>
    </row>
    <row r="69" spans="4:15" x14ac:dyDescent="0.2">
      <c r="D69">
        <v>11</v>
      </c>
      <c r="E69" t="str">
        <v>2025-09-30</v>
      </c>
      <c r="I69">
        <v>2</v>
      </c>
      <c r="J69">
        <v>3</v>
      </c>
      <c r="K69">
        <v>1.855808879E-3</v>
      </c>
      <c r="L69">
        <v>5</v>
      </c>
      <c r="M69">
        <v>5</v>
      </c>
      <c r="N69">
        <v>66.095468724810004</v>
      </c>
      <c r="O69">
        <v>23</v>
      </c>
    </row>
    <row r="70" spans="4:15" x14ac:dyDescent="0.2">
      <c r="D70">
        <v>12</v>
      </c>
      <c r="E70" t="str">
        <v>2025-08-31</v>
      </c>
      <c r="I70">
        <v>2</v>
      </c>
      <c r="J70">
        <v>4</v>
      </c>
      <c r="K70">
        <v>2.743382911086E-3</v>
      </c>
      <c r="L70">
        <v>5</v>
      </c>
      <c r="M70">
        <v>7.0000000000000009</v>
      </c>
      <c r="N70">
        <v>74.361496501479991</v>
      </c>
      <c r="O70">
        <v>26</v>
      </c>
    </row>
    <row r="71" spans="4:15" x14ac:dyDescent="0.2">
      <c r="D71">
        <v>13</v>
      </c>
      <c r="E71" t="str">
        <v>2025-07-31</v>
      </c>
      <c r="I71">
        <v>2</v>
      </c>
      <c r="J71">
        <v>5</v>
      </c>
      <c r="K71">
        <v>3.7951524565970002E-3</v>
      </c>
      <c r="L71">
        <v>6</v>
      </c>
      <c r="M71">
        <v>9</v>
      </c>
      <c r="N71">
        <v>82.537045480399996</v>
      </c>
      <c r="O71">
        <v>28.999999999999996</v>
      </c>
    </row>
    <row r="72" spans="4:15" x14ac:dyDescent="0.2">
      <c r="D72">
        <v>14</v>
      </c>
      <c r="E72" t="str">
        <v>2025-06-30</v>
      </c>
      <c r="I72">
        <v>2</v>
      </c>
      <c r="J72">
        <v>6</v>
      </c>
      <c r="K72">
        <v>5.0301298672789999E-3</v>
      </c>
      <c r="L72">
        <v>6</v>
      </c>
      <c r="M72">
        <v>11</v>
      </c>
      <c r="N72">
        <v>94.903791393250003</v>
      </c>
      <c r="O72">
        <v>33</v>
      </c>
    </row>
    <row r="73" spans="4:15" x14ac:dyDescent="0.2">
      <c r="D73">
        <v>15</v>
      </c>
      <c r="E73" t="str">
        <v>2025-05-31</v>
      </c>
      <c r="I73">
        <v>2</v>
      </c>
      <c r="J73">
        <v>7</v>
      </c>
      <c r="K73">
        <v>6.4665432812070003E-3</v>
      </c>
      <c r="L73">
        <v>7.0000000000000009</v>
      </c>
      <c r="M73">
        <v>13</v>
      </c>
      <c r="N73">
        <v>105.42161682247999</v>
      </c>
      <c r="O73">
        <v>37</v>
      </c>
    </row>
    <row r="74" spans="4:15" x14ac:dyDescent="0.2">
      <c r="D74">
        <v>16</v>
      </c>
      <c r="E74" t="str">
        <v>2025-04-30</v>
      </c>
      <c r="I74">
        <v>2</v>
      </c>
      <c r="J74">
        <v>8</v>
      </c>
      <c r="K74">
        <v>8.1210085982110006E-3</v>
      </c>
      <c r="L74">
        <v>7.0000000000000009</v>
      </c>
      <c r="M74">
        <v>15</v>
      </c>
      <c r="N74">
        <v>110.19512602252</v>
      </c>
      <c r="O74">
        <v>39</v>
      </c>
    </row>
    <row r="75" spans="4:15" x14ac:dyDescent="0.2">
      <c r="D75">
        <v>17</v>
      </c>
      <c r="E75" t="str">
        <v>2025-03-31</v>
      </c>
      <c r="I75">
        <v>2</v>
      </c>
      <c r="J75">
        <v>9</v>
      </c>
      <c r="K75">
        <v>1.0007972939958001E-2</v>
      </c>
      <c r="L75">
        <v>8</v>
      </c>
      <c r="M75">
        <v>17</v>
      </c>
      <c r="N75">
        <v>122.67048197257</v>
      </c>
      <c r="O75">
        <v>43</v>
      </c>
    </row>
    <row r="76" spans="4:15" x14ac:dyDescent="0.2">
      <c r="D76">
        <v>18</v>
      </c>
      <c r="E76" t="str">
        <v>2025-02-28</v>
      </c>
      <c r="I76">
        <v>2</v>
      </c>
      <c r="J76">
        <v>10</v>
      </c>
      <c r="K76">
        <v>1.2139390330279999E-2</v>
      </c>
      <c r="L76">
        <v>9</v>
      </c>
      <c r="M76">
        <v>19</v>
      </c>
      <c r="N76">
        <v>124.0640875032</v>
      </c>
      <c r="O76">
        <v>43</v>
      </c>
    </row>
    <row r="77" spans="4:15" x14ac:dyDescent="0.2">
      <c r="D77">
        <v>19</v>
      </c>
      <c r="E77" t="str">
        <v>2025-01-31</v>
      </c>
      <c r="I77">
        <v>2</v>
      </c>
      <c r="J77">
        <v>11</v>
      </c>
      <c r="K77">
        <v>1.4524580285356E-2</v>
      </c>
      <c r="L77">
        <v>9</v>
      </c>
      <c r="M77">
        <v>21</v>
      </c>
      <c r="N77">
        <v>124.14836306373</v>
      </c>
      <c r="O77">
        <v>43</v>
      </c>
    </row>
    <row r="78" spans="4:15" x14ac:dyDescent="0.2">
      <c r="D78">
        <v>20</v>
      </c>
      <c r="E78" t="str">
        <v>2024-12-31</v>
      </c>
      <c r="I78">
        <v>2</v>
      </c>
      <c r="J78">
        <v>12</v>
      </c>
      <c r="K78">
        <v>1.7170222844469001E-2</v>
      </c>
      <c r="L78">
        <v>10</v>
      </c>
      <c r="M78">
        <v>22</v>
      </c>
      <c r="N78">
        <v>124.64067430357998</v>
      </c>
      <c r="O78">
        <v>44</v>
      </c>
    </row>
    <row r="79" spans="4:15" x14ac:dyDescent="0.2">
      <c r="D79">
        <v>21</v>
      </c>
      <c r="E79" t="str">
        <v>2024-11-30</v>
      </c>
      <c r="I79">
        <v>2</v>
      </c>
      <c r="J79">
        <v>13</v>
      </c>
      <c r="K79">
        <v>2.0080450704585001E-2</v>
      </c>
      <c r="L79">
        <v>11</v>
      </c>
      <c r="M79">
        <v>24</v>
      </c>
      <c r="N79">
        <v>125.90497152161998</v>
      </c>
      <c r="O79">
        <v>44</v>
      </c>
    </row>
    <row r="80" spans="4:15" x14ac:dyDescent="0.2">
      <c r="D80">
        <v>22</v>
      </c>
      <c r="E80" t="str">
        <v>2024-10-31</v>
      </c>
      <c r="I80">
        <v>2</v>
      </c>
      <c r="J80">
        <v>14</v>
      </c>
      <c r="K80">
        <v>2.3257006936994E-2</v>
      </c>
      <c r="L80">
        <v>11</v>
      </c>
      <c r="M80">
        <v>26</v>
      </c>
      <c r="N80">
        <v>127.52204631002999</v>
      </c>
      <c r="O80">
        <v>45</v>
      </c>
    </row>
    <row r="81" spans="4:15" x14ac:dyDescent="0.2">
      <c r="D81">
        <v>23</v>
      </c>
      <c r="E81" t="str">
        <v>2024-09-30</v>
      </c>
      <c r="I81">
        <v>2</v>
      </c>
      <c r="J81">
        <v>15</v>
      </c>
      <c r="K81">
        <v>2.6699443874592999E-2</v>
      </c>
      <c r="L81">
        <v>12</v>
      </c>
      <c r="M81">
        <v>28.000000000000004</v>
      </c>
      <c r="N81">
        <v>128.78081502108</v>
      </c>
      <c r="O81">
        <v>45</v>
      </c>
    </row>
    <row r="82" spans="4:15" x14ac:dyDescent="0.2">
      <c r="D82">
        <v>24</v>
      </c>
      <c r="E82" t="str">
        <v>2024-08-31</v>
      </c>
      <c r="I82">
        <v>2</v>
      </c>
      <c r="J82">
        <v>16</v>
      </c>
      <c r="K82">
        <v>3.0405344742485001E-2</v>
      </c>
      <c r="L82">
        <v>13</v>
      </c>
      <c r="M82">
        <v>30</v>
      </c>
      <c r="N82">
        <v>129.67482936718</v>
      </c>
      <c r="O82">
        <v>45</v>
      </c>
    </row>
    <row r="83" spans="4:15" x14ac:dyDescent="0.2">
      <c r="D83">
        <v>25</v>
      </c>
      <c r="E83" t="str">
        <v>2024-06-30</v>
      </c>
      <c r="I83">
        <v>2</v>
      </c>
      <c r="J83">
        <v>17</v>
      </c>
      <c r="K83">
        <v>3.4370554440312E-2</v>
      </c>
      <c r="L83">
        <v>13</v>
      </c>
      <c r="M83">
        <v>31</v>
      </c>
      <c r="N83">
        <v>130.08451917254999</v>
      </c>
      <c r="O83">
        <v>46</v>
      </c>
    </row>
    <row r="84" spans="4:15" x14ac:dyDescent="0.2">
      <c r="D84">
        <v>26</v>
      </c>
      <c r="E84" t="str">
        <v>2024-05-31</v>
      </c>
      <c r="I84">
        <v>2</v>
      </c>
      <c r="J84">
        <v>18</v>
      </c>
      <c r="K84">
        <v>3.8589409697897002E-2</v>
      </c>
      <c r="L84">
        <v>14.000000000000002</v>
      </c>
      <c r="M84">
        <v>33</v>
      </c>
      <c r="N84">
        <v>130.08451917254999</v>
      </c>
      <c r="O84">
        <v>47</v>
      </c>
    </row>
    <row r="85" spans="4:15" x14ac:dyDescent="0.2">
      <c r="D85">
        <v>27</v>
      </c>
      <c r="E85" t="str">
        <v>2024-04-30</v>
      </c>
      <c r="I85">
        <v>2</v>
      </c>
      <c r="J85">
        <v>19</v>
      </c>
      <c r="K85">
        <v>4.3054961782122002E-2</v>
      </c>
      <c r="L85">
        <v>15</v>
      </c>
      <c r="M85">
        <v>35</v>
      </c>
      <c r="N85">
        <v>130.08451917254999</v>
      </c>
      <c r="O85">
        <v>50</v>
      </c>
    </row>
    <row r="86" spans="4:15" x14ac:dyDescent="0.2">
      <c r="D86">
        <v>28</v>
      </c>
      <c r="E86" t="str">
        <v>2024-03-31</v>
      </c>
      <c r="I86">
        <v>2</v>
      </c>
      <c r="J86">
        <v>20</v>
      </c>
      <c r="K86">
        <v>4.7759187193860998E-2</v>
      </c>
      <c r="L86">
        <v>15</v>
      </c>
      <c r="M86">
        <v>37</v>
      </c>
      <c r="N86">
        <v>130.08451917254999</v>
      </c>
      <c r="O86">
        <v>52</v>
      </c>
    </row>
    <row r="87" spans="4:15" x14ac:dyDescent="0.2">
      <c r="D87">
        <v>29</v>
      </c>
      <c r="E87" t="str">
        <v>2024-02-29</v>
      </c>
      <c r="I87">
        <v>2</v>
      </c>
      <c r="J87">
        <v>21</v>
      </c>
      <c r="K87">
        <v>5.2693183500945998E-2</v>
      </c>
      <c r="L87">
        <v>16</v>
      </c>
      <c r="M87">
        <v>39</v>
      </c>
      <c r="N87">
        <v>130.08451917254999</v>
      </c>
      <c r="O87">
        <v>55.000000000000007</v>
      </c>
    </row>
    <row r="88" spans="4:15" x14ac:dyDescent="0.2">
      <c r="D88">
        <v>30</v>
      </c>
      <c r="E88" t="str">
        <v>2024-01-31</v>
      </c>
      <c r="I88">
        <v>2</v>
      </c>
      <c r="J88">
        <v>22</v>
      </c>
      <c r="K88">
        <v>5.7847348724687997E-2</v>
      </c>
      <c r="L88">
        <v>17</v>
      </c>
      <c r="M88">
        <v>41</v>
      </c>
      <c r="N88">
        <v>130.08451917254999</v>
      </c>
      <c r="O88">
        <v>57.999999999999993</v>
      </c>
    </row>
    <row r="89" spans="4:15" x14ac:dyDescent="0.2">
      <c r="I89">
        <v>2</v>
      </c>
      <c r="J89">
        <v>23</v>
      </c>
      <c r="K89">
        <v>6.3211543629608E-2</v>
      </c>
      <c r="L89">
        <v>17</v>
      </c>
      <c r="M89">
        <v>42</v>
      </c>
      <c r="N89">
        <v>130.08451917254999</v>
      </c>
      <c r="O89">
        <v>59</v>
      </c>
    </row>
    <row r="90" spans="4:15" x14ac:dyDescent="0.2">
      <c r="I90">
        <v>2</v>
      </c>
      <c r="J90">
        <v>24</v>
      </c>
      <c r="K90">
        <v>6.8775236935744E-2</v>
      </c>
      <c r="L90">
        <v>18</v>
      </c>
      <c r="M90">
        <v>44</v>
      </c>
      <c r="N90">
        <v>130.08451917254999</v>
      </c>
      <c r="O90">
        <v>62</v>
      </c>
    </row>
    <row r="91" spans="4:15" x14ac:dyDescent="0.2">
      <c r="I91">
        <v>2</v>
      </c>
      <c r="J91">
        <v>25</v>
      </c>
      <c r="K91">
        <v>7.4527633941262994E-2</v>
      </c>
      <c r="L91">
        <v>18</v>
      </c>
      <c r="M91">
        <v>46</v>
      </c>
      <c r="N91">
        <v>130.08451917254999</v>
      </c>
      <c r="O91">
        <v>64</v>
      </c>
    </row>
    <row r="92" spans="4:15" x14ac:dyDescent="0.2">
      <c r="I92">
        <v>2</v>
      </c>
      <c r="J92">
        <v>26</v>
      </c>
      <c r="K92">
        <v>8.0457789358290996E-2</v>
      </c>
      <c r="L92">
        <v>19</v>
      </c>
      <c r="M92">
        <v>48</v>
      </c>
      <c r="N92">
        <v>130.08451917254999</v>
      </c>
      <c r="O92">
        <v>67</v>
      </c>
    </row>
    <row r="93" spans="4:15" x14ac:dyDescent="0.2">
      <c r="I93">
        <v>2</v>
      </c>
      <c r="J93">
        <v>27</v>
      </c>
      <c r="K93">
        <v>8.6554705364525003E-2</v>
      </c>
      <c r="L93">
        <v>19</v>
      </c>
      <c r="M93">
        <v>50</v>
      </c>
      <c r="N93">
        <v>130.08451917254999</v>
      </c>
      <c r="O93">
        <v>69</v>
      </c>
    </row>
    <row r="94" spans="4:15" x14ac:dyDescent="0.2">
      <c r="I94">
        <v>2</v>
      </c>
      <c r="J94">
        <v>28</v>
      </c>
      <c r="K94">
        <v>9.2807415986761996E-2</v>
      </c>
      <c r="L94">
        <v>19</v>
      </c>
      <c r="M94">
        <v>52</v>
      </c>
      <c r="N94">
        <v>130.08451917254999</v>
      </c>
      <c r="O94">
        <v>71</v>
      </c>
    </row>
    <row r="95" spans="4:15" x14ac:dyDescent="0.2">
      <c r="I95">
        <v>2</v>
      </c>
      <c r="J95">
        <v>29</v>
      </c>
      <c r="K95">
        <v>9.9205058982771002E-2</v>
      </c>
      <c r="L95">
        <v>20</v>
      </c>
      <c r="M95">
        <v>54</v>
      </c>
      <c r="N95">
        <v>130.08451917254999</v>
      </c>
      <c r="O95">
        <v>74</v>
      </c>
    </row>
    <row r="96" spans="4:15" x14ac:dyDescent="0.2">
      <c r="I96">
        <v>2</v>
      </c>
      <c r="J96">
        <v>30</v>
      </c>
      <c r="K96">
        <v>0.105736936392496</v>
      </c>
      <c r="L96">
        <v>20</v>
      </c>
      <c r="M96">
        <v>56.999999999999993</v>
      </c>
      <c r="N96">
        <v>130.08451917254999</v>
      </c>
      <c r="O96">
        <v>77</v>
      </c>
    </row>
    <row r="97" spans="9:15" x14ac:dyDescent="0.2">
      <c r="I97">
        <v>3</v>
      </c>
      <c r="J97">
        <v>1</v>
      </c>
      <c r="K97">
        <v>1.2999999999999999E-3</v>
      </c>
      <c r="L97">
        <v>10</v>
      </c>
      <c r="M97">
        <v>0</v>
      </c>
      <c r="N97">
        <v>123.88354267001</v>
      </c>
      <c r="O97">
        <v>43</v>
      </c>
    </row>
    <row r="98" spans="9:15" x14ac:dyDescent="0.2">
      <c r="I98">
        <v>3</v>
      </c>
      <c r="J98">
        <v>2</v>
      </c>
      <c r="K98">
        <v>3.0263099999999999E-3</v>
      </c>
      <c r="L98">
        <v>11</v>
      </c>
      <c r="M98">
        <v>1</v>
      </c>
      <c r="N98">
        <v>123.88354267001</v>
      </c>
      <c r="O98">
        <v>43</v>
      </c>
    </row>
    <row r="99" spans="9:15" x14ac:dyDescent="0.2">
      <c r="I99">
        <v>3</v>
      </c>
      <c r="J99">
        <v>3</v>
      </c>
      <c r="K99">
        <v>5.2112554079999998E-3</v>
      </c>
      <c r="L99">
        <v>13</v>
      </c>
      <c r="M99">
        <v>2</v>
      </c>
      <c r="N99">
        <v>137.26792464204001</v>
      </c>
      <c r="O99">
        <v>48</v>
      </c>
    </row>
    <row r="100" spans="9:15" x14ac:dyDescent="0.2">
      <c r="I100">
        <v>3</v>
      </c>
      <c r="J100">
        <v>4</v>
      </c>
      <c r="K100">
        <v>7.8908713107380003E-3</v>
      </c>
      <c r="L100">
        <v>14.000000000000002</v>
      </c>
      <c r="M100">
        <v>3</v>
      </c>
      <c r="N100">
        <v>152.52763011593001</v>
      </c>
      <c r="O100">
        <v>53</v>
      </c>
    </row>
    <row r="101" spans="9:15" x14ac:dyDescent="0.2">
      <c r="I101">
        <v>3</v>
      </c>
      <c r="J101">
        <v>5</v>
      </c>
      <c r="K101">
        <v>1.1089463821362E-2</v>
      </c>
      <c r="L101">
        <v>16</v>
      </c>
      <c r="M101">
        <v>4</v>
      </c>
      <c r="N101">
        <v>163.51953015772</v>
      </c>
      <c r="O101">
        <v>56.999999999999993</v>
      </c>
    </row>
    <row r="102" spans="9:15" x14ac:dyDescent="0.2">
      <c r="I102">
        <v>3</v>
      </c>
      <c r="J102">
        <v>6</v>
      </c>
      <c r="K102">
        <v>1.4816167996047999E-2</v>
      </c>
      <c r="L102">
        <v>18</v>
      </c>
      <c r="M102">
        <v>5</v>
      </c>
      <c r="N102">
        <v>168.59287812201998</v>
      </c>
      <c r="O102">
        <v>59</v>
      </c>
    </row>
    <row r="103" spans="9:15" x14ac:dyDescent="0.2">
      <c r="I103">
        <v>3</v>
      </c>
      <c r="J103">
        <v>7</v>
      </c>
      <c r="K103">
        <v>1.9066191111114999E-2</v>
      </c>
      <c r="L103">
        <v>19</v>
      </c>
      <c r="M103">
        <v>6</v>
      </c>
      <c r="N103">
        <v>170.21821296644001</v>
      </c>
      <c r="O103">
        <v>60</v>
      </c>
    </row>
    <row r="104" spans="9:15" x14ac:dyDescent="0.2">
      <c r="I104">
        <v>3</v>
      </c>
      <c r="J104">
        <v>8</v>
      </c>
      <c r="K104">
        <v>2.3823556119273E-2</v>
      </c>
      <c r="L104">
        <v>21</v>
      </c>
      <c r="M104">
        <v>7.0000000000000009</v>
      </c>
      <c r="N104">
        <v>170.87487945324</v>
      </c>
      <c r="O104">
        <v>60</v>
      </c>
    </row>
    <row r="105" spans="9:15" x14ac:dyDescent="0.2">
      <c r="I105">
        <v>3</v>
      </c>
      <c r="J105">
        <v>9</v>
      </c>
      <c r="K105">
        <v>2.9064020569229E-2</v>
      </c>
      <c r="L105">
        <v>23</v>
      </c>
      <c r="M105">
        <v>7.0000000000000009</v>
      </c>
      <c r="N105">
        <v>170.18969712479</v>
      </c>
      <c r="O105">
        <v>60</v>
      </c>
    </row>
    <row r="106" spans="9:15" x14ac:dyDescent="0.2">
      <c r="I106">
        <v>3</v>
      </c>
      <c r="J106">
        <v>10</v>
      </c>
      <c r="K106">
        <v>3.4757672741275003E-2</v>
      </c>
      <c r="L106">
        <v>24</v>
      </c>
      <c r="M106">
        <v>8</v>
      </c>
      <c r="N106">
        <v>169.23633925064999</v>
      </c>
      <c r="O106">
        <v>59</v>
      </c>
    </row>
    <row r="107" spans="9:15" x14ac:dyDescent="0.2">
      <c r="I107">
        <v>3</v>
      </c>
      <c r="J107">
        <v>11</v>
      </c>
      <c r="K107">
        <v>4.0871063777267E-2</v>
      </c>
      <c r="L107">
        <v>25</v>
      </c>
      <c r="M107">
        <v>9</v>
      </c>
      <c r="N107">
        <v>169.54698701116999</v>
      </c>
      <c r="O107">
        <v>59</v>
      </c>
    </row>
    <row r="108" spans="9:15" x14ac:dyDescent="0.2">
      <c r="I108">
        <v>3</v>
      </c>
      <c r="J108">
        <v>12</v>
      </c>
      <c r="K108">
        <v>4.7368880470604002E-2</v>
      </c>
      <c r="L108">
        <v>27</v>
      </c>
      <c r="M108">
        <v>10</v>
      </c>
      <c r="N108">
        <v>170.71910229997002</v>
      </c>
      <c r="O108">
        <v>60</v>
      </c>
    </row>
    <row r="109" spans="9:15" x14ac:dyDescent="0.2">
      <c r="I109">
        <v>3</v>
      </c>
      <c r="J109">
        <v>13</v>
      </c>
      <c r="K109">
        <v>5.4215215919150003E-2</v>
      </c>
      <c r="L109">
        <v>28.000000000000004</v>
      </c>
      <c r="M109">
        <v>11</v>
      </c>
      <c r="N109">
        <v>172.18564400792999</v>
      </c>
      <c r="O109">
        <v>60</v>
      </c>
    </row>
    <row r="110" spans="9:15" x14ac:dyDescent="0.2">
      <c r="I110">
        <v>3</v>
      </c>
      <c r="J110">
        <v>14</v>
      </c>
      <c r="K110">
        <v>6.1374507827075001E-2</v>
      </c>
      <c r="L110">
        <v>28.999999999999996</v>
      </c>
      <c r="M110">
        <v>12</v>
      </c>
      <c r="N110">
        <v>173.29227767487001</v>
      </c>
      <c r="O110">
        <v>61</v>
      </c>
    </row>
    <row r="111" spans="9:15" x14ac:dyDescent="0.2">
      <c r="I111">
        <v>3</v>
      </c>
      <c r="J111">
        <v>15</v>
      </c>
      <c r="K111">
        <v>6.8812210818901001E-2</v>
      </c>
      <c r="L111">
        <v>30</v>
      </c>
      <c r="M111">
        <v>13</v>
      </c>
      <c r="N111">
        <v>173.31618017918998</v>
      </c>
      <c r="O111">
        <v>61</v>
      </c>
    </row>
    <row r="112" spans="9:15" x14ac:dyDescent="0.2">
      <c r="I112">
        <v>3</v>
      </c>
      <c r="J112">
        <v>16</v>
      </c>
      <c r="K112">
        <v>7.6495260233817003E-2</v>
      </c>
      <c r="L112">
        <v>31</v>
      </c>
      <c r="M112">
        <v>15</v>
      </c>
      <c r="N112">
        <v>173.31618017918998</v>
      </c>
      <c r="O112">
        <v>61</v>
      </c>
    </row>
    <row r="113" spans="9:15" x14ac:dyDescent="0.2">
      <c r="I113">
        <v>3</v>
      </c>
      <c r="J113">
        <v>17</v>
      </c>
      <c r="K113">
        <v>8.4392374962750996E-2</v>
      </c>
      <c r="L113">
        <v>31</v>
      </c>
      <c r="M113">
        <v>16</v>
      </c>
      <c r="N113">
        <v>173.31618017918998</v>
      </c>
      <c r="O113">
        <v>61</v>
      </c>
    </row>
    <row r="114" spans="9:15" x14ac:dyDescent="0.2">
      <c r="I114">
        <v>3</v>
      </c>
      <c r="J114">
        <v>18</v>
      </c>
      <c r="K114">
        <v>9.2474237721956995E-2</v>
      </c>
      <c r="L114">
        <v>32</v>
      </c>
      <c r="M114">
        <v>17</v>
      </c>
      <c r="N114">
        <v>173.31618017918998</v>
      </c>
      <c r="O114">
        <v>61</v>
      </c>
    </row>
    <row r="115" spans="9:15" x14ac:dyDescent="0.2">
      <c r="I115">
        <v>3</v>
      </c>
      <c r="J115">
        <v>19</v>
      </c>
      <c r="K115">
        <v>0.10071358328546499</v>
      </c>
      <c r="L115">
        <v>33</v>
      </c>
      <c r="M115">
        <v>19</v>
      </c>
      <c r="N115">
        <v>173.31618017918998</v>
      </c>
      <c r="O115">
        <v>61</v>
      </c>
    </row>
    <row r="116" spans="9:15" x14ac:dyDescent="0.2">
      <c r="I116">
        <v>3</v>
      </c>
      <c r="J116">
        <v>20</v>
      </c>
      <c r="K116">
        <v>0.109085218687746</v>
      </c>
      <c r="L116">
        <v>33</v>
      </c>
      <c r="M116">
        <v>20</v>
      </c>
      <c r="N116">
        <v>173.31618017918998</v>
      </c>
      <c r="O116">
        <v>61</v>
      </c>
    </row>
    <row r="117" spans="9:15" x14ac:dyDescent="0.2">
      <c r="I117">
        <v>3</v>
      </c>
      <c r="J117">
        <v>21</v>
      </c>
      <c r="K117">
        <v>0.11756599413115799</v>
      </c>
      <c r="L117">
        <v>34</v>
      </c>
      <c r="M117">
        <v>22</v>
      </c>
      <c r="N117">
        <v>173.31618017918998</v>
      </c>
      <c r="O117">
        <v>61</v>
      </c>
    </row>
    <row r="118" spans="9:15" x14ac:dyDescent="0.2">
      <c r="I118">
        <v>3</v>
      </c>
      <c r="J118">
        <v>22</v>
      </c>
      <c r="K118">
        <v>0.12613473910775799</v>
      </c>
      <c r="L118">
        <v>34</v>
      </c>
      <c r="M118">
        <v>23</v>
      </c>
      <c r="N118">
        <v>173.31618017918998</v>
      </c>
      <c r="O118">
        <v>61</v>
      </c>
    </row>
    <row r="119" spans="9:15" x14ac:dyDescent="0.2">
      <c r="I119">
        <v>3</v>
      </c>
      <c r="J119">
        <v>23</v>
      </c>
      <c r="K119">
        <v>0.13477217488895599</v>
      </c>
      <c r="L119">
        <v>34</v>
      </c>
      <c r="M119">
        <v>25</v>
      </c>
      <c r="N119">
        <v>173.31618017918998</v>
      </c>
      <c r="O119">
        <v>61</v>
      </c>
    </row>
    <row r="120" spans="9:15" x14ac:dyDescent="0.2">
      <c r="I120">
        <v>3</v>
      </c>
      <c r="J120">
        <v>24</v>
      </c>
      <c r="K120">
        <v>0.14346081188561799</v>
      </c>
      <c r="L120">
        <v>34</v>
      </c>
      <c r="M120">
        <v>27</v>
      </c>
      <c r="N120">
        <v>173.31618017918998</v>
      </c>
      <c r="O120">
        <v>61</v>
      </c>
    </row>
    <row r="121" spans="9:15" x14ac:dyDescent="0.2">
      <c r="I121">
        <v>3</v>
      </c>
      <c r="J121">
        <v>25</v>
      </c>
      <c r="K121">
        <v>0.15218483829739399</v>
      </c>
      <c r="L121">
        <v>34</v>
      </c>
      <c r="M121">
        <v>28.000000000000004</v>
      </c>
      <c r="N121">
        <v>173.31618017918998</v>
      </c>
      <c r="O121">
        <v>62</v>
      </c>
    </row>
    <row r="122" spans="9:15" x14ac:dyDescent="0.2">
      <c r="I122">
        <v>3</v>
      </c>
      <c r="J122">
        <v>26</v>
      </c>
      <c r="K122">
        <v>0.160930004838925</v>
      </c>
      <c r="L122">
        <v>34</v>
      </c>
      <c r="M122">
        <v>30</v>
      </c>
      <c r="N122">
        <v>173.31618017918998</v>
      </c>
      <c r="O122">
        <v>64</v>
      </c>
    </row>
    <row r="123" spans="9:15" x14ac:dyDescent="0.2">
      <c r="I123">
        <v>3</v>
      </c>
      <c r="J123">
        <v>27</v>
      </c>
      <c r="K123">
        <v>0.16968350905960899</v>
      </c>
      <c r="L123">
        <v>34</v>
      </c>
      <c r="M123">
        <v>32</v>
      </c>
      <c r="N123">
        <v>173.31618017918998</v>
      </c>
      <c r="O123">
        <v>66</v>
      </c>
    </row>
    <row r="124" spans="9:15" x14ac:dyDescent="0.2">
      <c r="I124">
        <v>3</v>
      </c>
      <c r="J124">
        <v>28</v>
      </c>
      <c r="K124">
        <v>0.17843388178804001</v>
      </c>
      <c r="L124">
        <v>34</v>
      </c>
      <c r="M124">
        <v>34</v>
      </c>
      <c r="N124">
        <v>173.31618017918998</v>
      </c>
      <c r="O124">
        <v>68</v>
      </c>
    </row>
    <row r="125" spans="9:15" x14ac:dyDescent="0.2">
      <c r="I125">
        <v>3</v>
      </c>
      <c r="J125">
        <v>29</v>
      </c>
      <c r="K125">
        <v>0.18717087747227101</v>
      </c>
      <c r="L125">
        <v>34</v>
      </c>
      <c r="M125">
        <v>36</v>
      </c>
      <c r="N125">
        <v>173.31618017918998</v>
      </c>
      <c r="O125">
        <v>70</v>
      </c>
    </row>
    <row r="126" spans="9:15" x14ac:dyDescent="0.2">
      <c r="I126">
        <v>3</v>
      </c>
      <c r="J126">
        <v>30</v>
      </c>
      <c r="K126">
        <v>0.19588536960489999</v>
      </c>
      <c r="L126">
        <v>34</v>
      </c>
      <c r="M126">
        <v>38</v>
      </c>
      <c r="N126">
        <v>173.31618017918998</v>
      </c>
      <c r="O126">
        <v>72</v>
      </c>
    </row>
    <row r="127" spans="9:15" x14ac:dyDescent="0.2">
      <c r="I127">
        <v>4</v>
      </c>
      <c r="J127">
        <v>1</v>
      </c>
      <c r="K127">
        <v>6.1999999999999998E-3</v>
      </c>
      <c r="L127">
        <v>46</v>
      </c>
      <c r="M127">
        <v>0</v>
      </c>
      <c r="N127">
        <v>478.72552570430003</v>
      </c>
      <c r="O127">
        <v>168</v>
      </c>
    </row>
    <row r="128" spans="9:15" x14ac:dyDescent="0.2">
      <c r="I128">
        <v>4</v>
      </c>
      <c r="J128">
        <v>2</v>
      </c>
      <c r="K128">
        <v>1.5542220000000001E-2</v>
      </c>
      <c r="L128">
        <v>57.999999999999993</v>
      </c>
      <c r="M128">
        <v>0</v>
      </c>
      <c r="N128">
        <v>478.72552570430003</v>
      </c>
      <c r="O128">
        <v>168</v>
      </c>
    </row>
    <row r="129" spans="9:15" x14ac:dyDescent="0.2">
      <c r="I129">
        <v>4</v>
      </c>
      <c r="J129">
        <v>3</v>
      </c>
      <c r="K129">
        <v>2.7896449015000001E-2</v>
      </c>
      <c r="L129">
        <v>69</v>
      </c>
      <c r="M129">
        <v>0</v>
      </c>
      <c r="N129">
        <v>466.51646250691005</v>
      </c>
      <c r="O129">
        <v>163</v>
      </c>
    </row>
    <row r="130" spans="9:15" x14ac:dyDescent="0.2">
      <c r="I130">
        <v>4</v>
      </c>
      <c r="J130">
        <v>4</v>
      </c>
      <c r="K130">
        <v>4.2744033696947001E-2</v>
      </c>
      <c r="L130">
        <v>78</v>
      </c>
      <c r="M130">
        <v>0</v>
      </c>
      <c r="N130">
        <v>458.52773661797005</v>
      </c>
      <c r="O130">
        <v>160</v>
      </c>
    </row>
    <row r="131" spans="9:15" x14ac:dyDescent="0.2">
      <c r="I131">
        <v>4</v>
      </c>
      <c r="J131">
        <v>5</v>
      </c>
      <c r="K131">
        <v>5.9488209050732002E-2</v>
      </c>
      <c r="L131">
        <v>86</v>
      </c>
      <c r="M131">
        <v>0</v>
      </c>
      <c r="N131">
        <v>455.67524026338003</v>
      </c>
      <c r="O131">
        <v>159</v>
      </c>
    </row>
    <row r="132" spans="9:15" x14ac:dyDescent="0.2">
      <c r="I132">
        <v>4</v>
      </c>
      <c r="J132">
        <v>6</v>
      </c>
      <c r="K132">
        <v>7.7576214188358E-2</v>
      </c>
      <c r="L132">
        <v>93</v>
      </c>
      <c r="M132">
        <v>0</v>
      </c>
      <c r="N132">
        <v>452.66463998719996</v>
      </c>
      <c r="O132">
        <v>158</v>
      </c>
    </row>
    <row r="133" spans="9:15" x14ac:dyDescent="0.2">
      <c r="I133">
        <v>4</v>
      </c>
      <c r="J133">
        <v>7</v>
      </c>
      <c r="K133">
        <v>9.6539003263155995E-2</v>
      </c>
      <c r="L133">
        <v>98</v>
      </c>
      <c r="M133">
        <v>0</v>
      </c>
      <c r="N133">
        <v>449.69974830056998</v>
      </c>
      <c r="O133">
        <v>157</v>
      </c>
    </row>
    <row r="134" spans="9:15" x14ac:dyDescent="0.2">
      <c r="I134">
        <v>4</v>
      </c>
      <c r="J134">
        <v>8</v>
      </c>
      <c r="K134">
        <v>0.115996368225733</v>
      </c>
      <c r="L134">
        <v>102</v>
      </c>
      <c r="M134">
        <v>0</v>
      </c>
      <c r="N134">
        <v>446.95434992188001</v>
      </c>
      <c r="O134">
        <v>156</v>
      </c>
    </row>
    <row r="135" spans="9:15" x14ac:dyDescent="0.2">
      <c r="I135">
        <v>4</v>
      </c>
      <c r="J135">
        <v>9</v>
      </c>
      <c r="K135">
        <v>0.135648798058085</v>
      </c>
      <c r="L135">
        <v>104</v>
      </c>
      <c r="M135">
        <v>0</v>
      </c>
      <c r="N135">
        <v>444.49540065400998</v>
      </c>
      <c r="O135">
        <v>156</v>
      </c>
    </row>
    <row r="136" spans="9:15" x14ac:dyDescent="0.2">
      <c r="I136">
        <v>4</v>
      </c>
      <c r="J136">
        <v>10</v>
      </c>
      <c r="K136">
        <v>0.155265352666596</v>
      </c>
      <c r="L136">
        <v>106</v>
      </c>
      <c r="M136">
        <v>0</v>
      </c>
      <c r="N136">
        <v>442.30243677942997</v>
      </c>
      <c r="O136">
        <v>155</v>
      </c>
    </row>
    <row r="137" spans="9:15" x14ac:dyDescent="0.2">
      <c r="I137">
        <v>4</v>
      </c>
      <c r="J137">
        <v>11</v>
      </c>
      <c r="K137">
        <v>0.174671396506658</v>
      </c>
      <c r="L137">
        <v>107</v>
      </c>
      <c r="M137">
        <v>0</v>
      </c>
      <c r="N137">
        <v>440.22111229147004</v>
      </c>
      <c r="O137">
        <v>154</v>
      </c>
    </row>
    <row r="138" spans="9:15" x14ac:dyDescent="0.2">
      <c r="I138">
        <v>4</v>
      </c>
      <c r="J138">
        <v>12</v>
      </c>
      <c r="K138">
        <v>0.193737622872381</v>
      </c>
      <c r="L138">
        <v>107</v>
      </c>
      <c r="M138">
        <v>0</v>
      </c>
      <c r="N138">
        <v>438.25087800063</v>
      </c>
      <c r="O138">
        <v>153</v>
      </c>
    </row>
    <row r="139" spans="9:15" x14ac:dyDescent="0.2">
      <c r="I139">
        <v>4</v>
      </c>
      <c r="J139">
        <v>13</v>
      </c>
      <c r="K139">
        <v>0.212370756752531</v>
      </c>
      <c r="L139">
        <v>106</v>
      </c>
      <c r="M139">
        <v>1</v>
      </c>
      <c r="N139">
        <v>436.57107250587995</v>
      </c>
      <c r="O139">
        <v>153</v>
      </c>
    </row>
    <row r="140" spans="9:15" x14ac:dyDescent="0.2">
      <c r="I140">
        <v>4</v>
      </c>
      <c r="J140">
        <v>14</v>
      </c>
      <c r="K140">
        <v>0.23050589813992101</v>
      </c>
      <c r="L140">
        <v>105</v>
      </c>
      <c r="M140">
        <v>5</v>
      </c>
      <c r="N140">
        <v>434.90218026865</v>
      </c>
      <c r="O140">
        <v>152</v>
      </c>
    </row>
    <row r="141" spans="9:15" x14ac:dyDescent="0.2">
      <c r="I141">
        <v>4</v>
      </c>
      <c r="J141">
        <v>15</v>
      </c>
      <c r="K141">
        <v>0.24810031471209801</v>
      </c>
      <c r="L141">
        <v>104</v>
      </c>
      <c r="M141">
        <v>10</v>
      </c>
      <c r="N141">
        <v>433.01383338656001</v>
      </c>
      <c r="O141">
        <v>152</v>
      </c>
    </row>
    <row r="142" spans="9:15" x14ac:dyDescent="0.2">
      <c r="I142">
        <v>4</v>
      </c>
      <c r="J142">
        <v>16</v>
      </c>
      <c r="K142">
        <v>0.26512845686901099</v>
      </c>
      <c r="L142">
        <v>102</v>
      </c>
      <c r="M142">
        <v>14.000000000000002</v>
      </c>
      <c r="N142">
        <v>430.13213478258001</v>
      </c>
      <c r="O142">
        <v>151</v>
      </c>
    </row>
    <row r="143" spans="9:15" x14ac:dyDescent="0.2">
      <c r="I143">
        <v>4</v>
      </c>
      <c r="J143">
        <v>17</v>
      </c>
      <c r="K143">
        <v>0.28157797918646599</v>
      </c>
      <c r="L143">
        <v>100</v>
      </c>
      <c r="M143">
        <v>19</v>
      </c>
      <c r="N143">
        <v>428.46539018255999</v>
      </c>
      <c r="O143">
        <v>150</v>
      </c>
    </row>
    <row r="144" spans="9:15" x14ac:dyDescent="0.2">
      <c r="I144">
        <v>4</v>
      </c>
      <c r="J144">
        <v>18</v>
      </c>
      <c r="K144">
        <v>0.29744657957411402</v>
      </c>
      <c r="L144">
        <v>97</v>
      </c>
      <c r="M144">
        <v>24</v>
      </c>
      <c r="N144">
        <v>427.32693181624006</v>
      </c>
      <c r="O144">
        <v>150</v>
      </c>
    </row>
    <row r="145" spans="9:15" x14ac:dyDescent="0.2">
      <c r="I145">
        <v>4</v>
      </c>
      <c r="J145">
        <v>19</v>
      </c>
      <c r="K145">
        <v>0.31273949770964399</v>
      </c>
      <c r="L145">
        <v>95</v>
      </c>
      <c r="M145">
        <v>28.000000000000004</v>
      </c>
      <c r="N145">
        <v>427.21541074370998</v>
      </c>
      <c r="O145">
        <v>150</v>
      </c>
    </row>
    <row r="146" spans="9:15" x14ac:dyDescent="0.2">
      <c r="I146">
        <v>4</v>
      </c>
      <c r="J146">
        <v>20</v>
      </c>
      <c r="K146">
        <v>0.32746754249632198</v>
      </c>
      <c r="L146">
        <v>92</v>
      </c>
      <c r="M146">
        <v>33</v>
      </c>
      <c r="N146">
        <v>428.02958907563999</v>
      </c>
      <c r="O146">
        <v>150</v>
      </c>
    </row>
    <row r="147" spans="9:15" x14ac:dyDescent="0.2">
      <c r="I147">
        <v>4</v>
      </c>
      <c r="J147">
        <v>21</v>
      </c>
      <c r="K147">
        <v>0.34164554267946801</v>
      </c>
      <c r="L147">
        <v>90</v>
      </c>
      <c r="M147">
        <v>37</v>
      </c>
      <c r="N147">
        <v>428.14297989542001</v>
      </c>
      <c r="O147">
        <v>150</v>
      </c>
    </row>
    <row r="148" spans="9:15" x14ac:dyDescent="0.2">
      <c r="I148">
        <v>4</v>
      </c>
      <c r="J148">
        <v>22</v>
      </c>
      <c r="K148">
        <v>0.35529113514278499</v>
      </c>
      <c r="L148">
        <v>87</v>
      </c>
      <c r="M148">
        <v>42</v>
      </c>
      <c r="N148">
        <v>427.33064583324006</v>
      </c>
      <c r="O148">
        <v>150</v>
      </c>
    </row>
    <row r="149" spans="9:15" x14ac:dyDescent="0.2">
      <c r="I149">
        <v>4</v>
      </c>
      <c r="J149">
        <v>23</v>
      </c>
      <c r="K149">
        <v>0.36842382213455699</v>
      </c>
      <c r="L149">
        <v>84</v>
      </c>
      <c r="M149">
        <v>46</v>
      </c>
      <c r="N149">
        <v>425.92315321558993</v>
      </c>
      <c r="O149">
        <v>149</v>
      </c>
    </row>
    <row r="150" spans="9:15" x14ac:dyDescent="0.2">
      <c r="I150">
        <v>4</v>
      </c>
      <c r="J150">
        <v>24</v>
      </c>
      <c r="K150">
        <v>0.38106424226449198</v>
      </c>
      <c r="L150">
        <v>82</v>
      </c>
      <c r="M150">
        <v>51</v>
      </c>
      <c r="N150">
        <v>424.24965325015</v>
      </c>
      <c r="O150">
        <v>148</v>
      </c>
    </row>
    <row r="151" spans="9:15" x14ac:dyDescent="0.2">
      <c r="I151">
        <v>4</v>
      </c>
      <c r="J151">
        <v>25</v>
      </c>
      <c r="K151">
        <v>0.393233611090128</v>
      </c>
      <c r="L151">
        <v>79</v>
      </c>
      <c r="M151">
        <v>55.000000000000007</v>
      </c>
      <c r="N151">
        <v>422.54074004962001</v>
      </c>
      <c r="O151">
        <v>148</v>
      </c>
    </row>
    <row r="152" spans="9:15" x14ac:dyDescent="0.2">
      <c r="I152">
        <v>4</v>
      </c>
      <c r="J152">
        <v>26</v>
      </c>
      <c r="K152">
        <v>0.40495329594983398</v>
      </c>
      <c r="L152">
        <v>76</v>
      </c>
      <c r="M152">
        <v>59</v>
      </c>
      <c r="N152">
        <v>420.91353484966004</v>
      </c>
      <c r="O152">
        <v>147</v>
      </c>
    </row>
    <row r="153" spans="9:15" x14ac:dyDescent="0.2">
      <c r="I153">
        <v>4</v>
      </c>
      <c r="J153">
        <v>27</v>
      </c>
      <c r="K153">
        <v>0.41624449680049702</v>
      </c>
      <c r="L153">
        <v>73</v>
      </c>
      <c r="M153">
        <v>63</v>
      </c>
      <c r="N153">
        <v>419.35435496129998</v>
      </c>
      <c r="O153">
        <v>147</v>
      </c>
    </row>
    <row r="154" spans="9:15" x14ac:dyDescent="0.2">
      <c r="I154">
        <v>4</v>
      </c>
      <c r="J154">
        <v>28</v>
      </c>
      <c r="K154">
        <v>0.42712801051579402</v>
      </c>
      <c r="L154">
        <v>71</v>
      </c>
      <c r="M154">
        <v>67</v>
      </c>
      <c r="N154">
        <v>417.83366369125997</v>
      </c>
      <c r="O154">
        <v>146</v>
      </c>
    </row>
    <row r="155" spans="9:15" x14ac:dyDescent="0.2">
      <c r="I155">
        <v>4</v>
      </c>
      <c r="J155">
        <v>29</v>
      </c>
      <c r="K155">
        <v>0.43762406066883702</v>
      </c>
      <c r="L155">
        <v>68</v>
      </c>
      <c r="M155">
        <v>70</v>
      </c>
      <c r="N155">
        <v>416.32666087294996</v>
      </c>
      <c r="O155">
        <v>146</v>
      </c>
    </row>
    <row r="156" spans="9:15" x14ac:dyDescent="0.2">
      <c r="I156">
        <v>4</v>
      </c>
      <c r="J156">
        <v>30</v>
      </c>
      <c r="K156">
        <v>0.44775217848230398</v>
      </c>
      <c r="L156">
        <v>66</v>
      </c>
      <c r="M156">
        <v>74</v>
      </c>
      <c r="N156">
        <v>414.80915853760996</v>
      </c>
      <c r="O156">
        <v>145</v>
      </c>
    </row>
    <row r="157" spans="9:15" x14ac:dyDescent="0.2">
      <c r="I157">
        <v>5</v>
      </c>
      <c r="J157">
        <v>1</v>
      </c>
      <c r="K157">
        <v>3.9600000000000003E-2</v>
      </c>
      <c r="L157">
        <v>303</v>
      </c>
      <c r="M157">
        <v>0</v>
      </c>
      <c r="N157">
        <v>740.60319188145002</v>
      </c>
      <c r="O157">
        <v>303</v>
      </c>
    </row>
    <row r="158" spans="9:15" x14ac:dyDescent="0.2">
      <c r="I158">
        <v>5</v>
      </c>
      <c r="J158">
        <v>2</v>
      </c>
      <c r="K158">
        <v>9.0330579999999994E-2</v>
      </c>
      <c r="L158">
        <v>347</v>
      </c>
      <c r="M158">
        <v>0</v>
      </c>
      <c r="N158">
        <v>740.60319188145002</v>
      </c>
      <c r="O158">
        <v>347</v>
      </c>
    </row>
    <row r="159" spans="9:15" x14ac:dyDescent="0.2">
      <c r="I159">
        <v>5</v>
      </c>
      <c r="J159">
        <v>3</v>
      </c>
      <c r="K159">
        <v>0.14237530089299999</v>
      </c>
      <c r="L159">
        <v>363</v>
      </c>
      <c r="M159">
        <v>0</v>
      </c>
      <c r="N159">
        <v>728.19905454515003</v>
      </c>
      <c r="O159">
        <v>363</v>
      </c>
    </row>
    <row r="160" spans="9:15" x14ac:dyDescent="0.2">
      <c r="I160">
        <v>5</v>
      </c>
      <c r="J160">
        <v>4</v>
      </c>
      <c r="K160">
        <v>0.19180118586792699</v>
      </c>
      <c r="L160">
        <v>364</v>
      </c>
      <c r="M160">
        <v>0</v>
      </c>
      <c r="N160">
        <v>717.54951947740994</v>
      </c>
      <c r="O160">
        <v>364</v>
      </c>
    </row>
    <row r="161" spans="9:15" x14ac:dyDescent="0.2">
      <c r="I161">
        <v>5</v>
      </c>
      <c r="J161">
        <v>5</v>
      </c>
      <c r="K161">
        <v>0.23727856311966</v>
      </c>
      <c r="L161">
        <v>356</v>
      </c>
      <c r="M161">
        <v>0</v>
      </c>
      <c r="N161">
        <v>713.16041223549996</v>
      </c>
      <c r="O161">
        <v>356</v>
      </c>
    </row>
    <row r="162" spans="9:15" x14ac:dyDescent="0.2">
      <c r="I162">
        <v>5</v>
      </c>
      <c r="J162">
        <v>6</v>
      </c>
      <c r="K162">
        <v>0.278592267217949</v>
      </c>
      <c r="L162">
        <v>343</v>
      </c>
      <c r="M162">
        <v>0</v>
      </c>
      <c r="N162">
        <v>710.14981195932</v>
      </c>
      <c r="O162">
        <v>343</v>
      </c>
    </row>
    <row r="163" spans="9:15" x14ac:dyDescent="0.2">
      <c r="I163">
        <v>5</v>
      </c>
      <c r="J163">
        <v>7</v>
      </c>
      <c r="K163">
        <v>0.315972520817136</v>
      </c>
      <c r="L163">
        <v>327</v>
      </c>
      <c r="M163">
        <v>0</v>
      </c>
      <c r="N163">
        <v>707.18492027269008</v>
      </c>
      <c r="O163">
        <v>327</v>
      </c>
    </row>
    <row r="164" spans="9:15" x14ac:dyDescent="0.2">
      <c r="I164">
        <v>5</v>
      </c>
      <c r="J164">
        <v>8</v>
      </c>
      <c r="K164">
        <v>0.34979963897401301</v>
      </c>
      <c r="L164">
        <v>310</v>
      </c>
      <c r="M164">
        <v>0</v>
      </c>
      <c r="N164">
        <v>704.43952189399999</v>
      </c>
      <c r="O164">
        <v>310</v>
      </c>
    </row>
    <row r="165" spans="9:15" x14ac:dyDescent="0.2">
      <c r="I165">
        <v>5</v>
      </c>
      <c r="J165">
        <v>9</v>
      </c>
      <c r="K165">
        <v>0.38047821192431402</v>
      </c>
      <c r="L165">
        <v>293</v>
      </c>
      <c r="M165">
        <v>0</v>
      </c>
      <c r="N165">
        <v>701.98057262612997</v>
      </c>
      <c r="O165">
        <v>293</v>
      </c>
    </row>
    <row r="166" spans="9:15" x14ac:dyDescent="0.2">
      <c r="I166">
        <v>5</v>
      </c>
      <c r="J166">
        <v>10</v>
      </c>
      <c r="K166">
        <v>0.40838730474470297</v>
      </c>
      <c r="L166">
        <v>276</v>
      </c>
      <c r="M166">
        <v>0</v>
      </c>
      <c r="N166">
        <v>699.78760875155001</v>
      </c>
      <c r="O166">
        <v>276</v>
      </c>
    </row>
    <row r="167" spans="9:15" x14ac:dyDescent="0.2">
      <c r="I167">
        <v>5</v>
      </c>
      <c r="J167">
        <v>11</v>
      </c>
      <c r="K167">
        <v>0.433864082763951</v>
      </c>
      <c r="L167">
        <v>259</v>
      </c>
      <c r="M167">
        <v>0</v>
      </c>
      <c r="N167">
        <v>697.70628426358996</v>
      </c>
      <c r="O167">
        <v>259</v>
      </c>
    </row>
    <row r="168" spans="9:15" x14ac:dyDescent="0.2">
      <c r="I168">
        <v>5</v>
      </c>
      <c r="J168">
        <v>12</v>
      </c>
      <c r="K168">
        <v>0.45720157964970798</v>
      </c>
      <c r="L168">
        <v>243.00000000000003</v>
      </c>
      <c r="M168">
        <v>0</v>
      </c>
      <c r="N168">
        <v>695.73604997274992</v>
      </c>
      <c r="O168">
        <v>244</v>
      </c>
    </row>
    <row r="169" spans="9:15" x14ac:dyDescent="0.2">
      <c r="I169">
        <v>5</v>
      </c>
      <c r="J169">
        <v>13</v>
      </c>
      <c r="K169">
        <v>0.47865198019968702</v>
      </c>
      <c r="L169">
        <v>227.99999999999997</v>
      </c>
      <c r="M169">
        <v>0</v>
      </c>
      <c r="N169">
        <v>694.05624447800005</v>
      </c>
      <c r="O169">
        <v>243.00000000000003</v>
      </c>
    </row>
    <row r="170" spans="9:15" x14ac:dyDescent="0.2">
      <c r="I170">
        <v>5</v>
      </c>
      <c r="J170">
        <v>14</v>
      </c>
      <c r="K170">
        <v>0.498431641154512</v>
      </c>
      <c r="L170">
        <v>213</v>
      </c>
      <c r="M170">
        <v>0</v>
      </c>
      <c r="N170">
        <v>692.38735224076993</v>
      </c>
      <c r="O170">
        <v>242</v>
      </c>
    </row>
    <row r="171" spans="9:15" x14ac:dyDescent="0.2">
      <c r="I171">
        <v>5</v>
      </c>
      <c r="J171">
        <v>15</v>
      </c>
      <c r="K171">
        <v>0.516726266285087</v>
      </c>
      <c r="L171">
        <v>200</v>
      </c>
      <c r="M171">
        <v>0</v>
      </c>
      <c r="N171">
        <v>690.49900535867994</v>
      </c>
      <c r="O171">
        <v>242</v>
      </c>
    </row>
    <row r="172" spans="9:15" x14ac:dyDescent="0.2">
      <c r="I172">
        <v>5</v>
      </c>
      <c r="J172">
        <v>16</v>
      </c>
      <c r="K172">
        <v>0.53369563039345302</v>
      </c>
      <c r="L172">
        <v>187</v>
      </c>
      <c r="M172">
        <v>0</v>
      </c>
      <c r="N172">
        <v>687.61730675469994</v>
      </c>
      <c r="O172">
        <v>241</v>
      </c>
    </row>
    <row r="173" spans="9:15" x14ac:dyDescent="0.2">
      <c r="I173">
        <v>5</v>
      </c>
      <c r="J173">
        <v>17</v>
      </c>
      <c r="K173">
        <v>0.54947767282558202</v>
      </c>
      <c r="L173">
        <v>175</v>
      </c>
      <c r="M173">
        <v>0</v>
      </c>
      <c r="N173">
        <v>685.95056215468003</v>
      </c>
      <c r="O173">
        <v>240</v>
      </c>
    </row>
    <row r="174" spans="9:15" x14ac:dyDescent="0.2">
      <c r="I174">
        <v>5</v>
      </c>
      <c r="J174">
        <v>18</v>
      </c>
      <c r="K174">
        <v>0.56419195779223297</v>
      </c>
      <c r="L174">
        <v>164</v>
      </c>
      <c r="M174">
        <v>0</v>
      </c>
      <c r="N174">
        <v>684.81210378835999</v>
      </c>
      <c r="O174">
        <v>240</v>
      </c>
    </row>
    <row r="175" spans="9:15" x14ac:dyDescent="0.2">
      <c r="I175">
        <v>5</v>
      </c>
      <c r="J175">
        <v>19</v>
      </c>
      <c r="K175">
        <v>0.57794256465044302</v>
      </c>
      <c r="L175">
        <v>154</v>
      </c>
      <c r="M175">
        <v>0</v>
      </c>
      <c r="N175">
        <v>684.70058271583002</v>
      </c>
      <c r="O175">
        <v>240</v>
      </c>
    </row>
    <row r="176" spans="9:15" x14ac:dyDescent="0.2">
      <c r="I176">
        <v>5</v>
      </c>
      <c r="J176">
        <v>20</v>
      </c>
      <c r="K176">
        <v>0.59082048920082597</v>
      </c>
      <c r="L176">
        <v>144</v>
      </c>
      <c r="M176">
        <v>0</v>
      </c>
      <c r="N176">
        <v>685.51476104775998</v>
      </c>
      <c r="O176">
        <v>240</v>
      </c>
    </row>
    <row r="177" spans="9:15" x14ac:dyDescent="0.2">
      <c r="I177">
        <v>5</v>
      </c>
      <c r="J177">
        <v>21</v>
      </c>
      <c r="K177">
        <v>0.60290563532171304</v>
      </c>
      <c r="L177">
        <v>135</v>
      </c>
      <c r="M177">
        <v>1</v>
      </c>
      <c r="N177">
        <v>685.62815186753994</v>
      </c>
      <c r="O177">
        <v>240</v>
      </c>
    </row>
    <row r="178" spans="9:15" x14ac:dyDescent="0.2">
      <c r="I178">
        <v>5</v>
      </c>
      <c r="J178">
        <v>22</v>
      </c>
      <c r="K178">
        <v>0.61426846743484698</v>
      </c>
      <c r="L178">
        <v>127</v>
      </c>
      <c r="M178">
        <v>6</v>
      </c>
      <c r="N178">
        <v>684.81581780535998</v>
      </c>
      <c r="O178">
        <v>240</v>
      </c>
    </row>
    <row r="179" spans="9:15" x14ac:dyDescent="0.2">
      <c r="I179">
        <v>5</v>
      </c>
      <c r="J179">
        <v>23</v>
      </c>
      <c r="K179">
        <v>0.62497138376648798</v>
      </c>
      <c r="L179">
        <v>119</v>
      </c>
      <c r="M179">
        <v>10</v>
      </c>
      <c r="N179">
        <v>683.40832518771003</v>
      </c>
      <c r="O179">
        <v>239</v>
      </c>
    </row>
    <row r="180" spans="9:15" x14ac:dyDescent="0.2">
      <c r="I180">
        <v>5</v>
      </c>
      <c r="J180">
        <v>24</v>
      </c>
      <c r="K180">
        <v>0.63506986030520396</v>
      </c>
      <c r="L180">
        <v>112.00000000000001</v>
      </c>
      <c r="M180">
        <v>14.000000000000002</v>
      </c>
      <c r="N180">
        <v>681.73482522226993</v>
      </c>
      <c r="O180">
        <v>239</v>
      </c>
    </row>
    <row r="181" spans="9:15" x14ac:dyDescent="0.2">
      <c r="I181">
        <v>5</v>
      </c>
      <c r="J181">
        <v>25</v>
      </c>
      <c r="K181">
        <v>0.64461340651783205</v>
      </c>
      <c r="L181">
        <v>105</v>
      </c>
      <c r="M181">
        <v>18</v>
      </c>
      <c r="N181">
        <v>680.02591202174006</v>
      </c>
      <c r="O181">
        <v>238</v>
      </c>
    </row>
    <row r="182" spans="9:15" x14ac:dyDescent="0.2">
      <c r="I182">
        <v>5</v>
      </c>
      <c r="J182">
        <v>26</v>
      </c>
      <c r="K182">
        <v>0.65364636641874196</v>
      </c>
      <c r="L182">
        <v>99</v>
      </c>
      <c r="M182">
        <v>21</v>
      </c>
      <c r="N182">
        <v>678.39870682178002</v>
      </c>
      <c r="O182">
        <v>237</v>
      </c>
    </row>
    <row r="183" spans="9:15" x14ac:dyDescent="0.2">
      <c r="I183">
        <v>5</v>
      </c>
      <c r="J183">
        <v>27</v>
      </c>
      <c r="K183">
        <v>0.66220859240603303</v>
      </c>
      <c r="L183">
        <v>93</v>
      </c>
      <c r="M183">
        <v>24</v>
      </c>
      <c r="N183">
        <v>676.83952693342007</v>
      </c>
      <c r="O183">
        <v>237</v>
      </c>
    </row>
    <row r="184" spans="9:15" x14ac:dyDescent="0.2">
      <c r="I184">
        <v>5</v>
      </c>
      <c r="J184">
        <v>28</v>
      </c>
      <c r="K184">
        <v>0.67033601421391797</v>
      </c>
      <c r="L184">
        <v>87</v>
      </c>
      <c r="M184">
        <v>27</v>
      </c>
      <c r="N184">
        <v>675.31883566338001</v>
      </c>
      <c r="O184">
        <v>236</v>
      </c>
    </row>
    <row r="185" spans="9:15" x14ac:dyDescent="0.2">
      <c r="I185">
        <v>5</v>
      </c>
      <c r="J185">
        <v>29</v>
      </c>
      <c r="K185">
        <v>0.67806112120419804</v>
      </c>
      <c r="L185">
        <v>82</v>
      </c>
      <c r="M185">
        <v>30</v>
      </c>
      <c r="N185">
        <v>673.81183284506994</v>
      </c>
      <c r="O185">
        <v>236</v>
      </c>
    </row>
    <row r="186" spans="9:15" x14ac:dyDescent="0.2">
      <c r="I186">
        <v>5</v>
      </c>
      <c r="J186">
        <v>30</v>
      </c>
      <c r="K186">
        <v>0.68541337286670401</v>
      </c>
      <c r="L186">
        <v>77</v>
      </c>
      <c r="M186">
        <v>32</v>
      </c>
      <c r="N186">
        <v>672.29433050973</v>
      </c>
      <c r="O186">
        <v>235</v>
      </c>
    </row>
    <row r="187" spans="9:15" x14ac:dyDescent="0.2">
      <c r="I187">
        <v>6</v>
      </c>
      <c r="J187">
        <v>1</v>
      </c>
      <c r="K187">
        <v>0.32850000000000001</v>
      </c>
      <c r="L187">
        <v>3194</v>
      </c>
      <c r="M187">
        <v>0</v>
      </c>
      <c r="N187">
        <v>740.60319188145002</v>
      </c>
      <c r="O187">
        <v>3194</v>
      </c>
    </row>
    <row r="188" spans="9:15" x14ac:dyDescent="0.2">
      <c r="I188">
        <v>6</v>
      </c>
      <c r="J188">
        <v>2</v>
      </c>
      <c r="K188">
        <v>0.49484122000000003</v>
      </c>
      <c r="L188">
        <v>2405</v>
      </c>
      <c r="M188">
        <v>0</v>
      </c>
      <c r="N188">
        <v>740.60319188145002</v>
      </c>
      <c r="O188">
        <v>2405</v>
      </c>
    </row>
    <row r="189" spans="9:15" x14ac:dyDescent="0.2">
      <c r="I189">
        <v>6</v>
      </c>
      <c r="J189">
        <v>3</v>
      </c>
      <c r="K189">
        <v>0.584715889554</v>
      </c>
      <c r="L189">
        <v>1828</v>
      </c>
      <c r="M189">
        <v>0</v>
      </c>
      <c r="N189">
        <v>728.19905454515003</v>
      </c>
      <c r="O189">
        <v>1828</v>
      </c>
    </row>
    <row r="190" spans="9:15" x14ac:dyDescent="0.2">
      <c r="I190">
        <v>6</v>
      </c>
      <c r="J190">
        <v>4</v>
      </c>
      <c r="K190">
        <v>0.63781549714010999</v>
      </c>
      <c r="L190">
        <v>1418</v>
      </c>
      <c r="M190">
        <v>0</v>
      </c>
      <c r="N190">
        <v>717.54951947740994</v>
      </c>
      <c r="O190">
        <v>1418</v>
      </c>
    </row>
    <row r="191" spans="9:15" x14ac:dyDescent="0.2">
      <c r="I191">
        <v>6</v>
      </c>
      <c r="J191">
        <v>5</v>
      </c>
      <c r="K191">
        <v>0.67263587602825103</v>
      </c>
      <c r="L191">
        <v>1126</v>
      </c>
      <c r="M191">
        <v>0</v>
      </c>
      <c r="N191">
        <v>713.16041223549996</v>
      </c>
      <c r="O191">
        <v>1126</v>
      </c>
    </row>
    <row r="192" spans="9:15" x14ac:dyDescent="0.2">
      <c r="I192">
        <v>6</v>
      </c>
      <c r="J192">
        <v>6</v>
      </c>
      <c r="K192">
        <v>0.69788713776341105</v>
      </c>
      <c r="L192">
        <v>914</v>
      </c>
      <c r="M192">
        <v>0</v>
      </c>
      <c r="N192">
        <v>710.14981195932</v>
      </c>
      <c r="O192">
        <v>914</v>
      </c>
    </row>
    <row r="193" spans="9:15" x14ac:dyDescent="0.2">
      <c r="I193">
        <v>6</v>
      </c>
      <c r="J193">
        <v>7</v>
      </c>
      <c r="K193">
        <v>0.71774566808289297</v>
      </c>
      <c r="L193">
        <v>756</v>
      </c>
      <c r="M193">
        <v>0</v>
      </c>
      <c r="N193">
        <v>707.18492027269008</v>
      </c>
      <c r="O193">
        <v>756</v>
      </c>
    </row>
    <row r="194" spans="9:15" x14ac:dyDescent="0.2">
      <c r="I194">
        <v>6</v>
      </c>
      <c r="J194">
        <v>8</v>
      </c>
      <c r="K194">
        <v>0.73427454228025901</v>
      </c>
      <c r="L194">
        <v>635</v>
      </c>
      <c r="M194">
        <v>0</v>
      </c>
      <c r="N194">
        <v>704.43952189399999</v>
      </c>
      <c r="O194">
        <v>635</v>
      </c>
    </row>
    <row r="195" spans="9:15" x14ac:dyDescent="0.2">
      <c r="I195">
        <v>6</v>
      </c>
      <c r="J195">
        <v>9</v>
      </c>
      <c r="K195">
        <v>0.74854134891014901</v>
      </c>
      <c r="L195">
        <v>541</v>
      </c>
      <c r="M195">
        <v>0</v>
      </c>
      <c r="N195">
        <v>701.98057262612997</v>
      </c>
      <c r="O195">
        <v>541</v>
      </c>
    </row>
    <row r="196" spans="9:15" x14ac:dyDescent="0.2">
      <c r="I196">
        <v>6</v>
      </c>
      <c r="J196">
        <v>10</v>
      </c>
      <c r="K196">
        <v>0.76113634272033603</v>
      </c>
      <c r="L196">
        <v>465.00000000000006</v>
      </c>
      <c r="M196">
        <v>0</v>
      </c>
      <c r="N196">
        <v>699.78760875155001</v>
      </c>
      <c r="O196">
        <v>465.00000000000006</v>
      </c>
    </row>
    <row r="197" spans="9:15" x14ac:dyDescent="0.2">
      <c r="I197">
        <v>6</v>
      </c>
      <c r="J197">
        <v>11</v>
      </c>
      <c r="K197">
        <v>0.77241416688963405</v>
      </c>
      <c r="L197">
        <v>404</v>
      </c>
      <c r="M197">
        <v>0</v>
      </c>
      <c r="N197">
        <v>697.70628426358996</v>
      </c>
      <c r="O197">
        <v>404</v>
      </c>
    </row>
    <row r="198" spans="9:15" x14ac:dyDescent="0.2">
      <c r="I198">
        <v>6</v>
      </c>
      <c r="J198">
        <v>12</v>
      </c>
      <c r="K198">
        <v>0.78260785725877002</v>
      </c>
      <c r="L198">
        <v>353</v>
      </c>
      <c r="M198">
        <v>0</v>
      </c>
      <c r="N198">
        <v>695.73604997274992</v>
      </c>
      <c r="O198">
        <v>353</v>
      </c>
    </row>
    <row r="199" spans="9:15" x14ac:dyDescent="0.2">
      <c r="I199">
        <v>6</v>
      </c>
      <c r="J199">
        <v>13</v>
      </c>
      <c r="K199">
        <v>0.79188360285044002</v>
      </c>
      <c r="L199">
        <v>311</v>
      </c>
      <c r="M199">
        <v>0</v>
      </c>
      <c r="N199">
        <v>694.05624447800005</v>
      </c>
      <c r="O199">
        <v>311</v>
      </c>
    </row>
    <row r="200" spans="9:15" x14ac:dyDescent="0.2">
      <c r="I200">
        <v>6</v>
      </c>
      <c r="J200">
        <v>14</v>
      </c>
      <c r="K200">
        <v>0.80036783669669997</v>
      </c>
      <c r="L200">
        <v>276</v>
      </c>
      <c r="M200">
        <v>0</v>
      </c>
      <c r="N200">
        <v>692.38735224076993</v>
      </c>
      <c r="O200">
        <v>276</v>
      </c>
    </row>
    <row r="201" spans="9:15" x14ac:dyDescent="0.2">
      <c r="I201">
        <v>6</v>
      </c>
      <c r="J201">
        <v>15</v>
      </c>
      <c r="K201">
        <v>0.80816125237826797</v>
      </c>
      <c r="L201">
        <v>245.00000000000003</v>
      </c>
      <c r="M201">
        <v>0</v>
      </c>
      <c r="N201">
        <v>690.49900535867994</v>
      </c>
      <c r="O201">
        <v>245.00000000000003</v>
      </c>
    </row>
    <row r="202" spans="9:15" x14ac:dyDescent="0.2">
      <c r="I202">
        <v>6</v>
      </c>
      <c r="J202">
        <v>16</v>
      </c>
      <c r="K202">
        <v>0.815346522378254</v>
      </c>
      <c r="L202">
        <v>219</v>
      </c>
      <c r="M202">
        <v>0</v>
      </c>
      <c r="N202">
        <v>687.61730675469994</v>
      </c>
      <c r="O202">
        <v>241</v>
      </c>
    </row>
    <row r="203" spans="9:15" x14ac:dyDescent="0.2">
      <c r="I203">
        <v>6</v>
      </c>
      <c r="J203">
        <v>17</v>
      </c>
      <c r="K203">
        <v>0.82199288757711797</v>
      </c>
      <c r="L203">
        <v>196</v>
      </c>
      <c r="M203">
        <v>0</v>
      </c>
      <c r="N203">
        <v>685.95056215468003</v>
      </c>
      <c r="O203">
        <v>240</v>
      </c>
    </row>
    <row r="204" spans="9:15" x14ac:dyDescent="0.2">
      <c r="I204">
        <v>6</v>
      </c>
      <c r="J204">
        <v>18</v>
      </c>
      <c r="K204">
        <v>0.82815911896539496</v>
      </c>
      <c r="L204">
        <v>177</v>
      </c>
      <c r="M204">
        <v>0</v>
      </c>
      <c r="N204">
        <v>684.81210378835999</v>
      </c>
      <c r="O204">
        <v>240</v>
      </c>
    </row>
    <row r="205" spans="9:15" x14ac:dyDescent="0.2">
      <c r="I205">
        <v>6</v>
      </c>
      <c r="J205">
        <v>19</v>
      </c>
      <c r="K205">
        <v>0.83389557736661402</v>
      </c>
      <c r="L205">
        <v>160</v>
      </c>
      <c r="M205">
        <v>0</v>
      </c>
      <c r="N205">
        <v>684.70058271583002</v>
      </c>
      <c r="O205">
        <v>240</v>
      </c>
    </row>
    <row r="206" spans="9:15" x14ac:dyDescent="0.2">
      <c r="I206">
        <v>6</v>
      </c>
      <c r="J206">
        <v>20</v>
      </c>
      <c r="K206">
        <v>0.83924573373369804</v>
      </c>
      <c r="L206">
        <v>144</v>
      </c>
      <c r="M206">
        <v>0</v>
      </c>
      <c r="N206">
        <v>685.51476104775998</v>
      </c>
      <c r="O206">
        <v>240</v>
      </c>
    </row>
    <row r="207" spans="9:15" x14ac:dyDescent="0.2">
      <c r="I207">
        <v>6</v>
      </c>
      <c r="J207">
        <v>21</v>
      </c>
      <c r="K207">
        <v>0.844247340069468</v>
      </c>
      <c r="L207">
        <v>131</v>
      </c>
      <c r="M207">
        <v>0</v>
      </c>
      <c r="N207">
        <v>685.62815186753994</v>
      </c>
      <c r="O207">
        <v>240</v>
      </c>
    </row>
    <row r="208" spans="9:15" x14ac:dyDescent="0.2">
      <c r="I208">
        <v>6</v>
      </c>
      <c r="J208">
        <v>22</v>
      </c>
      <c r="K208">
        <v>0.84893335724222496</v>
      </c>
      <c r="L208">
        <v>119</v>
      </c>
      <c r="M208">
        <v>0</v>
      </c>
      <c r="N208">
        <v>684.81581780535998</v>
      </c>
      <c r="O208">
        <v>240</v>
      </c>
    </row>
    <row r="209" spans="9:15" x14ac:dyDescent="0.2">
      <c r="I209">
        <v>6</v>
      </c>
      <c r="J209">
        <v>23</v>
      </c>
      <c r="K209">
        <v>0.85333270384006699</v>
      </c>
      <c r="L209">
        <v>109.00000000000001</v>
      </c>
      <c r="M209">
        <v>0</v>
      </c>
      <c r="N209">
        <v>683.40832518771003</v>
      </c>
      <c r="O209">
        <v>239</v>
      </c>
    </row>
    <row r="210" spans="9:15" x14ac:dyDescent="0.2">
      <c r="I210">
        <v>6</v>
      </c>
      <c r="J210">
        <v>24</v>
      </c>
      <c r="K210">
        <v>0.85747086792558402</v>
      </c>
      <c r="L210">
        <v>99</v>
      </c>
      <c r="M210">
        <v>2</v>
      </c>
      <c r="N210">
        <v>681.73482522226993</v>
      </c>
      <c r="O210">
        <v>239</v>
      </c>
    </row>
    <row r="211" spans="9:15" x14ac:dyDescent="0.2">
      <c r="I211">
        <v>6</v>
      </c>
      <c r="J211">
        <v>25</v>
      </c>
      <c r="K211">
        <v>0.86137041095652001</v>
      </c>
      <c r="L211">
        <v>91</v>
      </c>
      <c r="M211">
        <v>3</v>
      </c>
      <c r="N211">
        <v>680.02591202174006</v>
      </c>
      <c r="O211">
        <v>238</v>
      </c>
    </row>
    <row r="212" spans="9:15" x14ac:dyDescent="0.2">
      <c r="I212">
        <v>6</v>
      </c>
      <c r="J212">
        <v>26</v>
      </c>
      <c r="K212">
        <v>0.865051385448798</v>
      </c>
      <c r="L212">
        <v>83</v>
      </c>
      <c r="M212">
        <v>4</v>
      </c>
      <c r="N212">
        <v>678.39870682178002</v>
      </c>
      <c r="O212">
        <v>237</v>
      </c>
    </row>
    <row r="213" spans="9:15" x14ac:dyDescent="0.2">
      <c r="I213">
        <v>6</v>
      </c>
      <c r="J213">
        <v>27</v>
      </c>
      <c r="K213">
        <v>0.86853168289085803</v>
      </c>
      <c r="L213">
        <v>77</v>
      </c>
      <c r="M213">
        <v>6</v>
      </c>
      <c r="N213">
        <v>676.83952693342007</v>
      </c>
      <c r="O213">
        <v>237</v>
      </c>
    </row>
    <row r="214" spans="9:15" x14ac:dyDescent="0.2">
      <c r="I214">
        <v>6</v>
      </c>
      <c r="J214">
        <v>28</v>
      </c>
      <c r="K214">
        <v>0.87182732485095404</v>
      </c>
      <c r="L214">
        <v>70</v>
      </c>
      <c r="M214">
        <v>7.0000000000000009</v>
      </c>
      <c r="N214">
        <v>675.31883566338001</v>
      </c>
      <c r="O214">
        <v>236</v>
      </c>
    </row>
    <row r="215" spans="9:15" x14ac:dyDescent="0.2">
      <c r="I215">
        <v>6</v>
      </c>
      <c r="J215">
        <v>29</v>
      </c>
      <c r="K215">
        <v>0.87495270757904797</v>
      </c>
      <c r="L215">
        <v>65</v>
      </c>
      <c r="M215">
        <v>8</v>
      </c>
      <c r="N215">
        <v>673.81183284506994</v>
      </c>
      <c r="O215">
        <v>236</v>
      </c>
    </row>
    <row r="216" spans="9:15" x14ac:dyDescent="0.2">
      <c r="I216">
        <v>6</v>
      </c>
      <c r="J216">
        <v>30</v>
      </c>
      <c r="K216">
        <v>0.87792080838279196</v>
      </c>
      <c r="L216">
        <v>60</v>
      </c>
      <c r="M216">
        <v>9</v>
      </c>
      <c r="N216">
        <v>672.29433050973</v>
      </c>
      <c r="O216">
        <v>235</v>
      </c>
    </row>
  </sheetData>
  <mergeCells count="9">
    <mergeCell ref="B8:H8"/>
    <mergeCell ref="A1:J1"/>
    <mergeCell ref="B57:H57"/>
    <mergeCell ref="B4:H4"/>
    <mergeCell ref="B16:H16"/>
    <mergeCell ref="B10:H10"/>
    <mergeCell ref="A2:J2"/>
    <mergeCell ref="I5:M5"/>
    <mergeCell ref="B23:H23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5"/>
  <sheetViews>
    <sheetView showGridLines="0" workbookViewId="0"/>
  </sheetViews>
  <sheetFormatPr baseColWidth="10" defaultColWidth="8.83203125" defaultRowHeight="15" x14ac:dyDescent="0.2"/>
  <cols>
    <col min="1" max="1" width="3" customWidth="1"/>
    <col min="2" max="2" width="22" customWidth="1"/>
    <col min="3" max="3" width="24" customWidth="1"/>
    <col min="4" max="4" width="4" customWidth="1"/>
    <col min="5" max="5" width="22" customWidth="1"/>
    <col min="6" max="6" width="46" customWidth="1"/>
    <col min="7" max="7" width="4" customWidth="1"/>
    <col min="8" max="8" width="20" customWidth="1"/>
  </cols>
  <sheetData>
    <row r="1" spans="1:10" ht="34" customHeight="1" x14ac:dyDescent="0.2">
      <c r="A1" s="25" t="s">
        <v>153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8" customHeight="1" x14ac:dyDescent="0.2">
      <c r="A2" s="23" t="s">
        <v>154</v>
      </c>
      <c r="B2" s="24"/>
      <c r="C2" s="24"/>
      <c r="D2" s="24"/>
      <c r="E2" s="24"/>
      <c r="F2" s="24"/>
      <c r="G2" s="24"/>
      <c r="H2" s="24"/>
      <c r="I2" s="24"/>
      <c r="J2" s="24"/>
    </row>
    <row r="4" spans="1:10" ht="17" x14ac:dyDescent="0.2">
      <c r="B4" s="21" t="s">
        <v>155</v>
      </c>
      <c r="C4" s="22"/>
      <c r="E4" s="2" t="s">
        <v>156</v>
      </c>
      <c r="H4" s="2" t="s">
        <v>157</v>
      </c>
    </row>
    <row r="5" spans="1:10" x14ac:dyDescent="0.2">
      <c r="B5" s="5" t="s">
        <v>158</v>
      </c>
      <c r="C5" s="5" t="s">
        <v>159</v>
      </c>
      <c r="E5" s="26" t="s">
        <v>160</v>
      </c>
      <c r="F5" s="22"/>
      <c r="H5" s="26" t="s">
        <v>161</v>
      </c>
    </row>
    <row r="6" spans="1:10" x14ac:dyDescent="0.2">
      <c r="B6" s="2" t="s">
        <v>162</v>
      </c>
      <c r="C6" s="4" cm="1">
        <f t="array" ref="C6:C11">_xldudf_ALM_LATEST_DATE(B6:B11)</f>
        <v>46260</v>
      </c>
      <c r="E6" s="7" t="str" cm="1">
        <f t="array" ref="E6:F14">_xldudf_ALM_SERIES_INFO("SONIA")</f>
        <v>name</v>
      </c>
      <c r="F6" t="str">
        <v>SONIA</v>
      </c>
      <c r="H6" s="4" t="str" cm="1">
        <f t="array" ref="H6:H15">_xlfn.TAKE(_xldudf_ALM_AVAILABLE_DATES("BANKRATE"),10)</f>
        <v>2026-08-27</v>
      </c>
    </row>
    <row r="7" spans="1:10" x14ac:dyDescent="0.2">
      <c r="B7" s="2" t="s">
        <v>163</v>
      </c>
      <c r="C7" s="8">
        <v>46261</v>
      </c>
      <c r="E7" t="str">
        <v>description</v>
      </c>
      <c r="F7" t="str">
        <v>Sterling Overnight Index Average — daily benchmark rate.</v>
      </c>
      <c r="H7" s="8" t="str">
        <v>2026-08-26</v>
      </c>
    </row>
    <row r="8" spans="1:10" x14ac:dyDescent="0.2">
      <c r="B8" s="2" t="s">
        <v>95</v>
      </c>
      <c r="C8" s="8">
        <v>46174</v>
      </c>
      <c r="E8" t="str">
        <v>unit</v>
      </c>
      <c r="F8" t="str">
        <v>%</v>
      </c>
      <c r="H8" s="8" t="str">
        <v>2026-08-25</v>
      </c>
    </row>
    <row r="9" spans="1:10" x14ac:dyDescent="0.2">
      <c r="B9" s="2" t="s">
        <v>94</v>
      </c>
      <c r="C9" s="8">
        <v>46174</v>
      </c>
      <c r="E9" t="str">
        <v>category</v>
      </c>
      <c r="F9" t="str">
        <v>BoE Rates</v>
      </c>
      <c r="H9" s="8" t="str">
        <v>2026-08-24</v>
      </c>
    </row>
    <row r="10" spans="1:10" x14ac:dyDescent="0.2">
      <c r="B10" s="2" t="s">
        <v>164</v>
      </c>
      <c r="C10" s="8">
        <v>46234</v>
      </c>
      <c r="E10" t="str">
        <v>source</v>
      </c>
      <c r="F10" t="str">
        <v>Bank of England (IUDSOIA)</v>
      </c>
      <c r="H10" s="8" t="str">
        <v>2026-08-21</v>
      </c>
    </row>
    <row r="11" spans="1:10" x14ac:dyDescent="0.2">
      <c r="B11" s="2" t="s">
        <v>165</v>
      </c>
      <c r="C11" s="8">
        <v>46261</v>
      </c>
      <c r="E11" t="str">
        <v>frequency</v>
      </c>
      <c r="F11" t="str">
        <v>Daily (working days)</v>
      </c>
      <c r="H11" s="8" t="str">
        <v>2026-08-20</v>
      </c>
    </row>
    <row r="12" spans="1:10" x14ac:dyDescent="0.2">
      <c r="E12" t="str">
        <v>first_date</v>
      </c>
      <c r="F12" t="str">
        <v>2021-01-04</v>
      </c>
      <c r="H12" s="8" t="str">
        <v>2026-08-19</v>
      </c>
    </row>
    <row r="13" spans="1:10" x14ac:dyDescent="0.2">
      <c r="B13" s="26" t="s">
        <v>166</v>
      </c>
      <c r="C13" s="22"/>
      <c r="E13" t="str">
        <v>latest_date</v>
      </c>
      <c r="F13" t="str">
        <v>2026-08-26</v>
      </c>
      <c r="H13" s="8" t="str">
        <v>2026-08-18</v>
      </c>
    </row>
    <row r="14" spans="1:10" x14ac:dyDescent="0.2">
      <c r="E14" t="str">
        <v>observations</v>
      </c>
      <c r="F14" t="str">
        <v>1426</v>
      </c>
      <c r="H14" s="8" t="str">
        <v>2026-08-17</v>
      </c>
    </row>
    <row r="15" spans="1:10" ht="17" x14ac:dyDescent="0.2">
      <c r="B15" s="21" t="s">
        <v>167</v>
      </c>
      <c r="C15" s="22"/>
      <c r="H15" s="8" t="str">
        <v>2026-08-14</v>
      </c>
    </row>
    <row r="16" spans="1:10" x14ac:dyDescent="0.2">
      <c r="B16" s="7" t="str" cm="1">
        <f t="array" ref="B16:D35">_xldudf_ALM_AVAILABLE_SERIES()</f>
        <v>series</v>
      </c>
      <c r="C16" t="str">
        <v>category</v>
      </c>
      <c r="D16" t="str">
        <v>description</v>
      </c>
    </row>
    <row r="17" spans="2:4" x14ac:dyDescent="0.2">
      <c r="B17" t="str">
        <v>GILT</v>
      </c>
      <c r="C17" t="str">
        <v>BoE Curves</v>
      </c>
      <c r="D17" t="str">
        <v>UK Gilt nominal yield curve.</v>
      </c>
    </row>
    <row r="18" spans="2:4" x14ac:dyDescent="0.2">
      <c r="B18" t="str">
        <v>OIS</v>
      </c>
      <c r="C18" t="str">
        <v>BoE Curves</v>
      </c>
      <c r="D18" t="str">
        <v>SONIA-linked OIS yield curve.</v>
      </c>
    </row>
    <row r="19" spans="2:4" x14ac:dyDescent="0.2">
      <c r="B19" t="str">
        <v>INFLATION</v>
      </c>
      <c r="C19" t="str">
        <v>BoE Curves</v>
      </c>
      <c r="D19" t="str">
        <v>UK gilt-implied inflation curve.</v>
      </c>
    </row>
    <row r="20" spans="2:4" x14ac:dyDescent="0.2">
      <c r="B20" t="str">
        <v>RFR_UK</v>
      </c>
      <c r="C20" t="str">
        <v>BoE Curves</v>
      </c>
      <c r="D20" t="str">
        <v>UK risk-free rate curve.</v>
      </c>
    </row>
    <row r="21" spans="2:4" x14ac:dyDescent="0.2">
      <c r="B21" t="str">
        <v>RFR_EU</v>
      </c>
      <c r="C21" t="str">
        <v>BoE Curves</v>
      </c>
      <c r="D21" t="str">
        <v>EU risk-free rate curve.</v>
      </c>
    </row>
    <row r="22" spans="2:4" x14ac:dyDescent="0.2">
      <c r="B22" t="str">
        <v>RFR_CA</v>
      </c>
      <c r="C22" t="str">
        <v>BoE Curves</v>
      </c>
      <c r="D22" t="str">
        <v>Canadian risk-free rate curve.</v>
      </c>
    </row>
    <row r="23" spans="2:4" x14ac:dyDescent="0.2">
      <c r="B23" t="str">
        <v>RFR_US</v>
      </c>
      <c r="C23" t="str">
        <v>BoE Curves</v>
      </c>
      <c r="D23" t="str">
        <v>US risk-free rate curve.</v>
      </c>
    </row>
    <row r="24" spans="2:4" x14ac:dyDescent="0.2">
      <c r="B24" t="str">
        <v>PRA_SPREAD</v>
      </c>
      <c r="C24" t="str">
        <v>PRA Data</v>
      </c>
      <c r="D24" t="str">
        <v>PRA fundamental spread tables — all components by CQS, tenor, currency, and sector.</v>
      </c>
    </row>
    <row r="25" spans="2:4" x14ac:dyDescent="0.2">
      <c r="B25" t="str">
        <v>RPI</v>
      </c>
      <c r="C25" t="str">
        <v>ONS Inflation</v>
      </c>
      <c r="D25" t="str">
        <v>Retail Prices Index level.</v>
      </c>
    </row>
    <row r="26" spans="2:4" x14ac:dyDescent="0.2">
      <c r="B26" t="str">
        <v>CPI</v>
      </c>
      <c r="C26" t="str">
        <v>ONS Inflation</v>
      </c>
      <c r="D26" t="str">
        <v>Consumer Prices Index level.</v>
      </c>
    </row>
    <row r="27" spans="2:4" x14ac:dyDescent="0.2">
      <c r="B27" t="str">
        <v>CPIH</v>
      </c>
      <c r="C27" t="str">
        <v>ONS Inflation</v>
      </c>
      <c r="D27" t="str">
        <v>CPI including Owner-Occupiers' Housing Costs — index level.</v>
      </c>
    </row>
    <row r="28" spans="2:4" x14ac:dyDescent="0.2">
      <c r="B28" t="str">
        <v>RPIX</v>
      </c>
      <c r="C28" t="str">
        <v>ONS Inflation</v>
      </c>
      <c r="D28" t="str">
        <v>RPI excluding Mortgage Interest Payments — index level.</v>
      </c>
    </row>
    <row r="29" spans="2:4" x14ac:dyDescent="0.2">
      <c r="B29" t="str">
        <v>CPI_YOY</v>
      </c>
      <c r="C29" t="str">
        <v>ONS Inflation</v>
      </c>
      <c r="D29" t="str">
        <v>CPI year-on-year change — official ONS annual rate (not derived).</v>
      </c>
    </row>
    <row r="30" spans="2:4" x14ac:dyDescent="0.2">
      <c r="B30" t="str">
        <v>CPIH_YOY</v>
      </c>
      <c r="C30" t="str">
        <v>ONS Inflation</v>
      </c>
      <c r="D30" t="str">
        <v>CPIH year-on-year change — official ONS annual rate (not derived).</v>
      </c>
    </row>
    <row r="31" spans="2:4" x14ac:dyDescent="0.2">
      <c r="B31" t="str">
        <v>RPI_YOY</v>
      </c>
      <c r="C31" t="str">
        <v>ONS Inflation</v>
      </c>
      <c r="D31" t="str">
        <v>RPI year-on-year change — official ONS annual rate (not derived).</v>
      </c>
    </row>
    <row r="32" spans="2:4" x14ac:dyDescent="0.2">
      <c r="B32" t="str">
        <v>RPIX_YOY</v>
      </c>
      <c r="C32" t="str">
        <v>ONS Inflation</v>
      </c>
      <c r="D32" t="str">
        <v>RPIX year-on-year change — official ONS annual rate (not derived).</v>
      </c>
    </row>
    <row r="33" spans="2:4" x14ac:dyDescent="0.2">
      <c r="B33" t="str">
        <v>SONIA</v>
      </c>
      <c r="C33" t="str">
        <v>BoE Rates</v>
      </c>
      <c r="D33" t="str">
        <v>Sterling Overnight Index Average — daily benchmark rate.</v>
      </c>
    </row>
    <row r="34" spans="2:4" x14ac:dyDescent="0.2">
      <c r="B34" t="str">
        <v>BANKRATE</v>
      </c>
      <c r="C34" t="str">
        <v>BoE Rates</v>
      </c>
      <c r="D34" t="str">
        <v>Official Bank Rate as set by the MPC.</v>
      </c>
    </row>
    <row r="35" spans="2:4" x14ac:dyDescent="0.2">
      <c r="B35" t="str">
        <v>FX</v>
      </c>
      <c r="C35" t="str">
        <v>BoE Rates</v>
      </c>
      <c r="D35" t="str">
        <v>GBP-paired spot exchange rates — 22 currency pairs published together.</v>
      </c>
    </row>
  </sheetData>
  <mergeCells count="7">
    <mergeCell ref="B13:C13"/>
    <mergeCell ref="H5"/>
    <mergeCell ref="A1:J1"/>
    <mergeCell ref="B15:C15"/>
    <mergeCell ref="E5:F5"/>
    <mergeCell ref="A2:J2"/>
    <mergeCell ref="B4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Welcome</vt:lpstr>
      <vt:lpstr>Yield Curves</vt:lpstr>
      <vt:lpstr>Smith-Wilson</vt:lpstr>
      <vt:lpstr>Rates &amp; FX</vt:lpstr>
      <vt:lpstr>Inflation</vt:lpstr>
      <vt:lpstr>Life Tables</vt:lpstr>
      <vt:lpstr>PRA Spreads</vt:lpstr>
      <vt:lpstr>Discovery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Amir Lakha</cp:lastModifiedBy>
  <dcterms:created xsi:type="dcterms:W3CDTF">2026-08-31T07:34:24Z</dcterms:created>
  <dcterms:modified xsi:type="dcterms:W3CDTF">2026-08-31T07:35:39Z</dcterms:modified>
</cp:coreProperties>
</file>